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Sedi3\Labor+Methoden\Korngrößen\Korntrennung\Atterberg\"/>
    </mc:Choice>
  </mc:AlternateContent>
  <bookViews>
    <workbookView xWindow="390" yWindow="90" windowWidth="14490" windowHeight="9570" activeTab="3"/>
  </bookViews>
  <sheets>
    <sheet name="Zeiten" sheetId="1" r:id="rId1"/>
    <sheet name="Durchmesser" sheetId="2" r:id="rId2"/>
    <sheet name="Viskosität Polywolframat" sheetId="3" r:id="rId3"/>
    <sheet name="Schwerminerale" sheetId="4" r:id="rId4"/>
  </sheets>
  <definedNames>
    <definedName name="_xlnm.Print_Area" localSheetId="3">Schwerminerale!$A$1:$J$56</definedName>
    <definedName name="_xlnm.Print_Area" localSheetId="0">Zeiten!$A$1:$J$56</definedName>
  </definedNames>
  <calcPr calcId="162913"/>
</workbook>
</file>

<file path=xl/calcChain.xml><?xml version="1.0" encoding="utf-8"?>
<calcChain xmlns="http://schemas.openxmlformats.org/spreadsheetml/2006/main">
  <c r="B25" i="4" l="1"/>
  <c r="H21" i="4"/>
  <c r="H20" i="4"/>
  <c r="B24" i="4" s="1"/>
  <c r="B43" i="4"/>
  <c r="D43" i="4" s="1"/>
  <c r="D42" i="4"/>
  <c r="D41" i="4"/>
  <c r="D40" i="4"/>
  <c r="B36" i="4"/>
  <c r="D36" i="4" s="1"/>
  <c r="B35" i="4"/>
  <c r="D35" i="4" s="1"/>
  <c r="D34" i="4"/>
  <c r="D33" i="4"/>
  <c r="D32" i="4"/>
  <c r="D31" i="4"/>
  <c r="D30" i="4"/>
  <c r="E26" i="4"/>
  <c r="A26" i="4"/>
  <c r="D25" i="4"/>
  <c r="D23" i="4"/>
  <c r="D22" i="4"/>
  <c r="D24" i="4" l="1"/>
  <c r="D26" i="4"/>
  <c r="B47" i="4" s="1"/>
  <c r="B49" i="4" s="1"/>
  <c r="C36" i="3"/>
  <c r="B48" i="4" l="1"/>
  <c r="B50" i="4"/>
  <c r="D50" i="4" s="1"/>
  <c r="D49" i="4"/>
  <c r="F50" i="4" s="1"/>
  <c r="C51" i="3"/>
  <c r="C62" i="3" s="1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64" i="3" l="1"/>
  <c r="C57" i="3"/>
  <c r="C58" i="3"/>
  <c r="C63" i="3"/>
  <c r="C66" i="3"/>
  <c r="C55" i="3"/>
  <c r="C56" i="3"/>
  <c r="C65" i="3"/>
  <c r="C60" i="3"/>
  <c r="C59" i="3"/>
  <c r="C67" i="3"/>
  <c r="C52" i="3"/>
  <c r="C53" i="3"/>
  <c r="C61" i="3"/>
  <c r="C54" i="3"/>
  <c r="H24" i="2"/>
  <c r="H24" i="1"/>
  <c r="H23" i="2"/>
  <c r="H21" i="2"/>
  <c r="Q14" i="2"/>
  <c r="Q17" i="2"/>
  <c r="Q15" i="2"/>
  <c r="R6" i="2"/>
  <c r="R10" i="2" s="1"/>
  <c r="Q19" i="2" l="1"/>
  <c r="B25" i="2" s="1"/>
  <c r="Q17" i="1" l="1"/>
  <c r="Q15" i="1"/>
  <c r="Q14" i="1"/>
  <c r="Q19" i="1" l="1"/>
  <c r="B36" i="1"/>
  <c r="D36" i="1" s="1"/>
  <c r="B35" i="1"/>
  <c r="D35" i="1" s="1"/>
  <c r="B43" i="2"/>
  <c r="D43" i="2" s="1"/>
  <c r="D22" i="2"/>
  <c r="H20" i="2"/>
  <c r="B24" i="2" s="1"/>
  <c r="D23" i="2"/>
  <c r="D30" i="2"/>
  <c r="B36" i="2"/>
  <c r="D36" i="2"/>
  <c r="B35" i="2"/>
  <c r="D35" i="2"/>
  <c r="D42" i="2"/>
  <c r="D41" i="2"/>
  <c r="D40" i="2"/>
  <c r="D34" i="2"/>
  <c r="D33" i="2"/>
  <c r="D32" i="2"/>
  <c r="D31" i="2"/>
  <c r="E26" i="2"/>
  <c r="A26" i="2"/>
  <c r="D24" i="2"/>
  <c r="H21" i="1"/>
  <c r="H20" i="1"/>
  <c r="R6" i="1"/>
  <c r="R10" i="1" s="1"/>
  <c r="D23" i="1"/>
  <c r="H23" i="1"/>
  <c r="D42" i="1"/>
  <c r="B43" i="1"/>
  <c r="D43" i="1" s="1"/>
  <c r="D22" i="1"/>
  <c r="D30" i="1"/>
  <c r="E26" i="1"/>
  <c r="A26" i="1"/>
  <c r="D32" i="1"/>
  <c r="D41" i="1"/>
  <c r="D40" i="1"/>
  <c r="D31" i="1"/>
  <c r="D34" i="1"/>
  <c r="D33" i="1"/>
  <c r="B24" i="1" l="1"/>
  <c r="D24" i="1" s="1"/>
  <c r="B25" i="1"/>
  <c r="D25" i="1" s="1"/>
  <c r="D25" i="2"/>
  <c r="D26" i="2" s="1"/>
  <c r="B47" i="2" s="1"/>
  <c r="B48" i="2" s="1"/>
  <c r="D26" i="1" l="1"/>
  <c r="B47" i="1" s="1"/>
  <c r="B48" i="1" s="1"/>
  <c r="B49" i="1" l="1"/>
  <c r="B50" i="1" s="1"/>
  <c r="D50" i="1" s="1"/>
  <c r="D49" i="1" l="1"/>
  <c r="F50" i="1" s="1"/>
</calcChain>
</file>

<file path=xl/comments1.xml><?xml version="1.0" encoding="utf-8"?>
<comments xmlns="http://schemas.openxmlformats.org/spreadsheetml/2006/main">
  <authors>
    <author>s</author>
    <author>volker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s:</t>
        </r>
        <r>
          <rPr>
            <sz val="8"/>
            <color indexed="81"/>
            <rFont val="Tahoma"/>
            <family val="2"/>
          </rPr>
          <t xml:space="preserve">
Viskosität n. Auflage 54, 1973-1974
Dichte n. Auflage 85, 2004-2005</t>
        </r>
      </text>
    </comment>
    <comment ref="L4" authorId="0" shapeId="0">
      <text>
        <r>
          <rPr>
            <b/>
            <sz val="8"/>
            <color indexed="81"/>
            <rFont val="Tahoma"/>
            <family val="2"/>
          </rPr>
          <t>s:</t>
        </r>
        <r>
          <rPr>
            <sz val="8"/>
            <color indexed="81"/>
            <rFont val="Tahoma"/>
            <family val="2"/>
          </rPr>
          <t xml:space="preserve">
Viskosität n. Auflage 54, 1973-1974
Dichte n. Auflage 85, 2004-2005</t>
        </r>
      </text>
    </comment>
    <comment ref="B19" authorId="1" shapeId="0">
      <text>
        <r>
          <rPr>
            <b/>
            <sz val="8"/>
            <color indexed="81"/>
            <rFont val="Tahoma"/>
            <family val="2"/>
          </rPr>
          <t>volker:</t>
        </r>
        <r>
          <rPr>
            <sz val="8"/>
            <color indexed="81"/>
            <rFont val="Tahoma"/>
            <family val="2"/>
          </rPr>
          <t xml:space="preserve">
Atterberg: 1
Zentrifuge: 2</t>
        </r>
      </text>
    </comment>
    <comment ref="B21" authorId="1" shapeId="0">
      <text>
        <r>
          <rPr>
            <b/>
            <sz val="8"/>
            <color indexed="81"/>
            <rFont val="Tahoma"/>
            <family val="2"/>
          </rPr>
          <t>volker:</t>
        </r>
        <r>
          <rPr>
            <sz val="8"/>
            <color indexed="81"/>
            <rFont val="Tahoma"/>
            <family val="2"/>
          </rPr>
          <t xml:space="preserve">
CRC: 1 (15-30°C) (empfohlen)
Boudreau: 2 (0-30°C)
</t>
        </r>
      </text>
    </comment>
  </commentList>
</comments>
</file>

<file path=xl/comments2.xml><?xml version="1.0" encoding="utf-8"?>
<comments xmlns="http://schemas.openxmlformats.org/spreadsheetml/2006/main">
  <authors>
    <author>s</author>
    <author>volker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s:</t>
        </r>
        <r>
          <rPr>
            <sz val="8"/>
            <color indexed="81"/>
            <rFont val="Tahoma"/>
            <family val="2"/>
          </rPr>
          <t xml:space="preserve">
Viskosität n. Auflage 54, 1973-1974
Dichte n. Auflage 85, 2004-2005</t>
        </r>
      </text>
    </comment>
    <comment ref="L4" authorId="0" shapeId="0">
      <text>
        <r>
          <rPr>
            <b/>
            <sz val="8"/>
            <color indexed="81"/>
            <rFont val="Tahoma"/>
            <family val="2"/>
          </rPr>
          <t>s:</t>
        </r>
        <r>
          <rPr>
            <sz val="8"/>
            <color indexed="81"/>
            <rFont val="Tahoma"/>
            <family val="2"/>
          </rPr>
          <t xml:space="preserve">
Viskosität n. Auflage 54, 1973-1974
Dichte n. Auflage 85, 2004-2005</t>
        </r>
      </text>
    </comment>
    <comment ref="B19" authorId="1" shapeId="0">
      <text>
        <r>
          <rPr>
            <b/>
            <sz val="8"/>
            <color indexed="81"/>
            <rFont val="Tahoma"/>
            <family val="2"/>
          </rPr>
          <t>volker:</t>
        </r>
        <r>
          <rPr>
            <sz val="8"/>
            <color indexed="81"/>
            <rFont val="Tahoma"/>
            <family val="2"/>
          </rPr>
          <t xml:space="preserve">
Atterberg: 1
Zentrifuge: 2</t>
        </r>
      </text>
    </comment>
    <comment ref="B21" authorId="1" shapeId="0">
      <text>
        <r>
          <rPr>
            <b/>
            <sz val="8"/>
            <color indexed="81"/>
            <rFont val="Tahoma"/>
            <family val="2"/>
          </rPr>
          <t>volker:</t>
        </r>
        <r>
          <rPr>
            <sz val="8"/>
            <color indexed="81"/>
            <rFont val="Tahoma"/>
            <family val="2"/>
          </rPr>
          <t xml:space="preserve">
CRC: 1 (15-25°C) (empfohlen)
Boudreau: 2 (0-30°C)
</t>
        </r>
      </text>
    </comment>
  </commentList>
</comments>
</file>

<file path=xl/comments3.xml><?xml version="1.0" encoding="utf-8"?>
<comments xmlns="http://schemas.openxmlformats.org/spreadsheetml/2006/main">
  <authors>
    <author>volker</author>
  </authors>
  <commentList>
    <comment ref="B19" authorId="0" shapeId="0">
      <text>
        <r>
          <rPr>
            <b/>
            <sz val="8"/>
            <color indexed="81"/>
            <rFont val="Tahoma"/>
            <family val="2"/>
          </rPr>
          <t>volker:</t>
        </r>
        <r>
          <rPr>
            <sz val="8"/>
            <color indexed="81"/>
            <rFont val="Tahoma"/>
            <family val="2"/>
          </rPr>
          <t xml:space="preserve">
Atterberg: 1
Zentrifuge: 2</t>
        </r>
      </text>
    </comment>
    <comment ref="B21" authorId="0" shapeId="0">
      <text>
        <r>
          <rPr>
            <b/>
            <sz val="8"/>
            <color indexed="81"/>
            <rFont val="Tahoma"/>
            <family val="2"/>
          </rPr>
          <t>volker:</t>
        </r>
        <r>
          <rPr>
            <sz val="8"/>
            <color indexed="81"/>
            <rFont val="Tahoma"/>
            <family val="2"/>
          </rPr>
          <t xml:space="preserve">
Nur 1 erlaubt</t>
        </r>
      </text>
    </comment>
  </commentList>
</comments>
</file>

<file path=xl/sharedStrings.xml><?xml version="1.0" encoding="utf-8"?>
<sst xmlns="http://schemas.openxmlformats.org/spreadsheetml/2006/main" count="462" uniqueCount="119">
  <si>
    <t>t = 18*η*h/g/(dp-dl)/D²</t>
  </si>
  <si>
    <t>t</t>
  </si>
  <si>
    <t>[s]</t>
  </si>
  <si>
    <t>η</t>
  </si>
  <si>
    <t>dyn. Viskosität (H2O)</t>
  </si>
  <si>
    <t>h</t>
  </si>
  <si>
    <t>Sinkstrecke</t>
  </si>
  <si>
    <t>[cm]</t>
  </si>
  <si>
    <t>g</t>
  </si>
  <si>
    <t>Beschleunigung</t>
  </si>
  <si>
    <t>dp</t>
  </si>
  <si>
    <t>Dichte Partikel</t>
  </si>
  <si>
    <t>[g/cm³]</t>
  </si>
  <si>
    <t>dl</t>
  </si>
  <si>
    <t>Dichte Wasser</t>
  </si>
  <si>
    <t>D</t>
  </si>
  <si>
    <t>Partikeldurchmesser</t>
  </si>
  <si>
    <t>f</t>
  </si>
  <si>
    <t>Frequenz</t>
  </si>
  <si>
    <t>r</t>
  </si>
  <si>
    <t>Zentrifugierradius</t>
  </si>
  <si>
    <t>[m]</t>
  </si>
  <si>
    <t>[m/s²]</t>
  </si>
  <si>
    <t>[Pa*s]</t>
  </si>
  <si>
    <t>[kg/m³]</t>
  </si>
  <si>
    <t>[1/s]</t>
  </si>
  <si>
    <t>Stoksches Gesetz nach Moore &amp; Reynolds (1997)</t>
  </si>
  <si>
    <t>T [°C]</t>
  </si>
  <si>
    <t>dl [kg/m³]</t>
  </si>
  <si>
    <t>Eingabewerte</t>
  </si>
  <si>
    <t>[1/min]</t>
  </si>
  <si>
    <t>rz</t>
  </si>
  <si>
    <t>Umrechnung in SI-Einheiten</t>
  </si>
  <si>
    <t>hl</t>
  </si>
  <si>
    <t>hs</t>
  </si>
  <si>
    <t>Höhe Suspension über Gefäßboden</t>
  </si>
  <si>
    <t>Temp.</t>
  </si>
  <si>
    <t>[°C]</t>
  </si>
  <si>
    <t>[min]</t>
  </si>
  <si>
    <t>[min]+</t>
  </si>
  <si>
    <t>[h]+</t>
  </si>
  <si>
    <t>Sedimentbedingungen (1&lt;t&lt;30, 0&lt;S&lt;35, 1&lt;P&lt;1000)</t>
  </si>
  <si>
    <t>[bar]</t>
  </si>
  <si>
    <t>[PSU]</t>
  </si>
  <si>
    <t>Druck, P</t>
  </si>
  <si>
    <t>Temp, t</t>
  </si>
  <si>
    <t>Salinität, S</t>
  </si>
  <si>
    <t>Dynamische Viskosität nach Boudreau (1997)</t>
  </si>
  <si>
    <t>[cp=0.01g/cm/s=0.001Pa*s]</t>
  </si>
  <si>
    <t>Dynam. Visk., η</t>
  </si>
  <si>
    <t>η nach:</t>
  </si>
  <si>
    <t>[µm]</t>
  </si>
  <si>
    <t>Absinkzeit</t>
  </si>
  <si>
    <t>Berechnung der Absinkzeiten von Partikeln in der Zentrifuge oder im Atterbergzylinder</t>
  </si>
  <si>
    <t>Berechnung für:</t>
  </si>
  <si>
    <t>Zentr.achse zu Gefäßboden</t>
  </si>
  <si>
    <t>Zentr.achse zu Gefäßoberrand</t>
  </si>
  <si>
    <t>hü</t>
  </si>
  <si>
    <t>Suspensionsoberfläche zu Gefäßoberrand</t>
  </si>
  <si>
    <t>Parameter für Zentrifugation</t>
  </si>
  <si>
    <t>Parameter für Atterberg</t>
  </si>
  <si>
    <t>he</t>
  </si>
  <si>
    <t>Berechnete Werte</t>
  </si>
  <si>
    <t>hl = Höhe Suspension über Gefäßboden</t>
  </si>
  <si>
    <t>he = Höhe Entnahmepunkt über Gefäßboden</t>
  </si>
  <si>
    <t>r0</t>
  </si>
  <si>
    <t>Zentr.achse zu Suspensionsoberfläche</t>
  </si>
  <si>
    <t>Zentr.achse zu Entnahmepunkt</t>
  </si>
  <si>
    <t>Beschleunigung in der Zentrifuge nach Tributh&amp;Lagaly (1986)</t>
  </si>
  <si>
    <t>[m²/s]</t>
  </si>
  <si>
    <t>t = Kz/D²/f²*ln(r/r0)</t>
  </si>
  <si>
    <t>Kz=18*η/(dp-dl)/4/π²</t>
  </si>
  <si>
    <t>Ks=18*η/g/(dp-dl)</t>
  </si>
  <si>
    <t>[m*s]</t>
  </si>
  <si>
    <t>[kg/(m*s)]</t>
  </si>
  <si>
    <t>rg</t>
  </si>
  <si>
    <t>Sedimentoberfläche zu Gefäßoberrand</t>
  </si>
  <si>
    <t>Tabellierte Werte nach Handbook of</t>
  </si>
  <si>
    <t>η [µPa*s]</t>
  </si>
  <si>
    <t>Viskosität in Abhängigkeit von T</t>
  </si>
  <si>
    <t>Dichte von Wasser in Abhängigkeit von T</t>
  </si>
  <si>
    <t>Chemistry and Physics</t>
  </si>
  <si>
    <t>Berechnung der Fallzeit</t>
  </si>
  <si>
    <t>Konstanten für Kendro Multifuge 3s mit weißen Adaptern und Glaseinsätzen</t>
  </si>
  <si>
    <t>d</t>
  </si>
  <si>
    <t>Berechnung des Korndurchmessers</t>
  </si>
  <si>
    <t>Chemistry and Physics (interpoliert)</t>
  </si>
  <si>
    <t>r=hs+rg</t>
  </si>
  <si>
    <t>r0=hü+rg</t>
  </si>
  <si>
    <t>hb</t>
  </si>
  <si>
    <t>r0=rz-hb+hü</t>
  </si>
  <si>
    <t>r=rz-hb+hs</t>
  </si>
  <si>
    <t>Konstanten für Heraeus Multifuge X3R mit TX1000</t>
  </si>
  <si>
    <t>rz [cm]</t>
  </si>
  <si>
    <t>hb [cm]</t>
  </si>
  <si>
    <t>175ml Nalgene konisch</t>
  </si>
  <si>
    <t>50ml Falcon konisch</t>
  </si>
  <si>
    <t>Gefäßoberrand über Sedimentoberfläche</t>
  </si>
  <si>
    <t>Gefäßoberrand über  Gefäßboden</t>
  </si>
  <si>
    <t>A</t>
  </si>
  <si>
    <t>B</t>
  </si>
  <si>
    <t>C</t>
  </si>
  <si>
    <r>
      <t>ρ</t>
    </r>
    <r>
      <rPr>
        <vertAlign val="subscript"/>
        <sz val="10"/>
        <rFont val="Arial"/>
        <family val="2"/>
      </rPr>
      <t>0</t>
    </r>
  </si>
  <si>
    <t>ρ</t>
  </si>
  <si>
    <t>Dichte (Meer)Wasser nach Millero&amp;Poisson (1981) in Abhängigkeit von Salinität - nur für Normaldruck</t>
  </si>
  <si>
    <t>erstellt: V.Karius, 01/2019</t>
  </si>
  <si>
    <t>hte ρ in g/cm³</t>
  </si>
  <si>
    <t>Viskosität η in mPa•s</t>
  </si>
  <si>
    <t>Interpolation</t>
  </si>
  <si>
    <t>ρ [g/cm³]</t>
  </si>
  <si>
    <t xml:space="preserve"> η [mPa•s]</t>
  </si>
  <si>
    <t>Konstanten Klaus Wemmer</t>
  </si>
  <si>
    <t>cm</t>
  </si>
  <si>
    <t>Konstanten für Klaus Wemmer</t>
  </si>
  <si>
    <t>η [mPa*s]</t>
  </si>
  <si>
    <t>Tabellierte Werte Na-Polywolframat</t>
  </si>
  <si>
    <t>Viskosität in Abhängigkeit von Dichte</t>
  </si>
  <si>
    <t>Dichte Poly</t>
  </si>
  <si>
    <t>erstellt: V.Karius, 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</si>
</sst>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"/>
    <numFmt numFmtId="166" formatCode="0.00000000"/>
    <numFmt numFmtId="167" formatCode="0.000000"/>
  </numFmts>
  <fonts count="6" x14ac:knownFonts="1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  <xf numFmtId="0" fontId="0" fillId="3" borderId="0" xfId="0" applyFill="1"/>
    <xf numFmtId="164" fontId="0" fillId="3" borderId="0" xfId="0" applyNumberFormat="1" applyFill="1"/>
    <xf numFmtId="1" fontId="0" fillId="3" borderId="0" xfId="0" applyNumberFormat="1" applyFill="1"/>
    <xf numFmtId="0" fontId="0" fillId="2" borderId="5" xfId="0" applyFill="1" applyBorder="1"/>
    <xf numFmtId="165" fontId="0" fillId="3" borderId="8" xfId="0" applyNumberFormat="1" applyFill="1" applyBorder="1"/>
    <xf numFmtId="11" fontId="0" fillId="3" borderId="0" xfId="0" applyNumberFormat="1" applyFill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/>
    <xf numFmtId="2" fontId="0" fillId="3" borderId="0" xfId="0" applyNumberFormat="1" applyFill="1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6" xfId="0" applyFill="1" applyBorder="1"/>
    <xf numFmtId="0" fontId="0" fillId="3" borderId="9" xfId="0" applyFill="1" applyBorder="1"/>
    <xf numFmtId="0" fontId="0" fillId="3" borderId="10" xfId="0" applyFill="1" applyBorder="1"/>
    <xf numFmtId="1" fontId="0" fillId="3" borderId="11" xfId="0" applyNumberFormat="1" applyFill="1" applyBorder="1"/>
    <xf numFmtId="0" fontId="0" fillId="3" borderId="11" xfId="0" applyFill="1" applyBorder="1"/>
    <xf numFmtId="2" fontId="0" fillId="2" borderId="0" xfId="0" applyNumberFormat="1" applyFill="1"/>
    <xf numFmtId="0" fontId="4" fillId="3" borderId="4" xfId="0" applyFont="1" applyFill="1" applyBorder="1"/>
    <xf numFmtId="0" fontId="4" fillId="3" borderId="6" xfId="0" applyFont="1" applyFill="1" applyBorder="1"/>
    <xf numFmtId="0" fontId="0" fillId="4" borderId="0" xfId="0" applyFill="1"/>
    <xf numFmtId="164" fontId="0" fillId="4" borderId="0" xfId="0" applyNumberFormat="1" applyFill="1"/>
    <xf numFmtId="165" fontId="0" fillId="0" borderId="0" xfId="0" applyNumberFormat="1" applyFill="1" applyBorder="1"/>
    <xf numFmtId="166" fontId="0" fillId="3" borderId="0" xfId="0" applyNumberFormat="1" applyFill="1"/>
    <xf numFmtId="167" fontId="0" fillId="3" borderId="0" xfId="0" applyNumberFormat="1" applyFill="1"/>
    <xf numFmtId="0" fontId="0" fillId="0" borderId="0" xfId="0" applyBorder="1" applyAlignment="1">
      <alignment horizontal="left"/>
    </xf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/>
    <xf numFmtId="0" fontId="4" fillId="4" borderId="0" xfId="0" applyFont="1" applyFill="1"/>
    <xf numFmtId="0" fontId="4" fillId="0" borderId="0" xfId="0" applyFont="1"/>
    <xf numFmtId="2" fontId="0" fillId="4" borderId="0" xfId="0" applyNumberFormat="1" applyFill="1"/>
    <xf numFmtId="164" fontId="0" fillId="0" borderId="0" xfId="0" applyNumberFormat="1" applyFill="1"/>
    <xf numFmtId="2" fontId="0" fillId="0" borderId="0" xfId="0" applyNumberFormat="1"/>
    <xf numFmtId="0" fontId="4" fillId="0" borderId="1" xfId="0" applyFont="1" applyFill="1" applyBorder="1"/>
    <xf numFmtId="0" fontId="4" fillId="0" borderId="4" xfId="0" applyFont="1" applyFill="1" applyBorder="1"/>
    <xf numFmtId="0" fontId="0" fillId="0" borderId="4" xfId="0" applyFill="1" applyBorder="1"/>
    <xf numFmtId="0" fontId="4" fillId="0" borderId="6" xfId="0" applyFont="1" applyFill="1" applyBorder="1"/>
    <xf numFmtId="0" fontId="4" fillId="3" borderId="0" xfId="0" applyFont="1" applyFill="1" applyBorder="1"/>
    <xf numFmtId="0" fontId="0" fillId="0" borderId="2" xfId="0" applyFill="1" applyBorder="1"/>
    <xf numFmtId="0" fontId="4" fillId="3" borderId="7" xfId="0" applyFont="1" applyFill="1" applyBorder="1"/>
    <xf numFmtId="1" fontId="0" fillId="3" borderId="5" xfId="0" applyNumberFormat="1" applyFill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Dyn. Visk nach Handbook of Chemistry and Physics</a:t>
            </a:r>
          </a:p>
        </c:rich>
      </c:tx>
      <c:layout>
        <c:manualLayout>
          <c:xMode val="edge"/>
          <c:yMode val="edge"/>
          <c:x val="0.14698820478765454"/>
          <c:y val="4.219409282700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784"/>
          <c:y val="0.22362961345271887"/>
          <c:w val="0.81204914821294738"/>
          <c:h val="0.5696226003040959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Zeiten!$H$6:$H$17</c:f>
              <c:numCache>
                <c:formatCode>General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30</c:v>
                </c:pt>
              </c:numCache>
            </c:numRef>
          </c:xVal>
          <c:yVal>
            <c:numRef>
              <c:f>Zeiten!$I$6:$I$17</c:f>
              <c:numCache>
                <c:formatCode>General</c:formatCode>
                <c:ptCount val="12"/>
                <c:pt idx="0">
                  <c:v>1139</c:v>
                </c:pt>
                <c:pt idx="1">
                  <c:v>1109</c:v>
                </c:pt>
                <c:pt idx="2">
                  <c:v>1081</c:v>
                </c:pt>
                <c:pt idx="3">
                  <c:v>1053</c:v>
                </c:pt>
                <c:pt idx="4">
                  <c:v>1027</c:v>
                </c:pt>
                <c:pt idx="5">
                  <c:v>1002</c:v>
                </c:pt>
                <c:pt idx="6">
                  <c:v>977.9</c:v>
                </c:pt>
                <c:pt idx="7">
                  <c:v>954.8</c:v>
                </c:pt>
                <c:pt idx="8">
                  <c:v>932.5</c:v>
                </c:pt>
                <c:pt idx="9">
                  <c:v>911.1</c:v>
                </c:pt>
                <c:pt idx="10">
                  <c:v>890.4</c:v>
                </c:pt>
                <c:pt idx="11">
                  <c:v>797.5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E7-4492-B48C-4FA0B3189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57312"/>
        <c:axId val="59157888"/>
      </c:scatterChart>
      <c:valAx>
        <c:axId val="59157312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T[°C]</a:t>
                </a:r>
              </a:p>
            </c:rich>
          </c:tx>
          <c:layout>
            <c:manualLayout>
              <c:xMode val="edge"/>
              <c:yMode val="edge"/>
              <c:x val="0.50843424090061029"/>
              <c:y val="0.873421265379802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157888"/>
        <c:crosses val="autoZero"/>
        <c:crossBetween val="midCat"/>
        <c:majorUnit val="1"/>
      </c:valAx>
      <c:valAx>
        <c:axId val="59157888"/>
        <c:scaling>
          <c:orientation val="minMax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Eta [µPa*s]</a:t>
                </a:r>
              </a:p>
            </c:rich>
          </c:tx>
          <c:layout>
            <c:manualLayout>
              <c:xMode val="edge"/>
              <c:yMode val="edge"/>
              <c:x val="3.8554216867469883E-2"/>
              <c:y val="0.38818742593884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157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044" r="0.75000000000000044" t="1" header="0.49212598450000022" footer="0.492125984500000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Dichte H20 nach Handbook of Chem. + Phys.</a:t>
            </a:r>
          </a:p>
        </c:rich>
      </c:tx>
      <c:layout>
        <c:manualLayout>
          <c:xMode val="edge"/>
          <c:yMode val="edge"/>
          <c:x val="0.14243354595512356"/>
          <c:y val="3.5830618892508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20498424312674"/>
          <c:y val="0.17915337940467765"/>
          <c:w val="0.7804165610171323"/>
          <c:h val="0.6612388367118109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Zeiten!$H$6:$H$17</c:f>
              <c:numCache>
                <c:formatCode>General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30</c:v>
                </c:pt>
              </c:numCache>
            </c:numRef>
          </c:xVal>
          <c:yVal>
            <c:numRef>
              <c:f>Zeiten!$J$6:$J$17</c:f>
              <c:numCache>
                <c:formatCode>General</c:formatCode>
                <c:ptCount val="12"/>
                <c:pt idx="0">
                  <c:v>999.10159999999996</c:v>
                </c:pt>
                <c:pt idx="1">
                  <c:v>998.94500000000005</c:v>
                </c:pt>
                <c:pt idx="2">
                  <c:v>998.77689999999996</c:v>
                </c:pt>
                <c:pt idx="3">
                  <c:v>998.59760000000006</c:v>
                </c:pt>
                <c:pt idx="4">
                  <c:v>998.40729999999996</c:v>
                </c:pt>
                <c:pt idx="5">
                  <c:v>998.20630000000006</c:v>
                </c:pt>
                <c:pt idx="6">
                  <c:v>997.99480000000005</c:v>
                </c:pt>
                <c:pt idx="7">
                  <c:v>997.77300000000002</c:v>
                </c:pt>
                <c:pt idx="8">
                  <c:v>997.5412</c:v>
                </c:pt>
                <c:pt idx="9">
                  <c:v>997.29939999999999</c:v>
                </c:pt>
                <c:pt idx="10">
                  <c:v>997.048</c:v>
                </c:pt>
                <c:pt idx="11">
                  <c:v>995.65110000000004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FA-493B-B53B-7EB7C48D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59616"/>
        <c:axId val="59160192"/>
      </c:scatterChart>
      <c:valAx>
        <c:axId val="59159616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 sz="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T [°C]</a:t>
                </a:r>
              </a:p>
            </c:rich>
          </c:tx>
          <c:layout>
            <c:manualLayout>
              <c:xMode val="edge"/>
              <c:yMode val="edge"/>
              <c:x val="0.51038637974407497"/>
              <c:y val="0.902281498200347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160192"/>
        <c:crosses val="autoZero"/>
        <c:crossBetween val="midCat"/>
        <c:majorUnit val="1"/>
      </c:valAx>
      <c:valAx>
        <c:axId val="5916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Rho [kg/m³]</a:t>
                </a:r>
              </a:p>
            </c:rich>
          </c:tx>
          <c:layout>
            <c:manualLayout>
              <c:xMode val="edge"/>
              <c:yMode val="edge"/>
              <c:x val="4.7477744807121663E-2"/>
              <c:y val="0.420196123693007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159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044" r="0.75000000000000044" t="1" header="0.49212598450000022" footer="0.492125984500000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24</xdr:row>
      <xdr:rowOff>38100</xdr:rowOff>
    </xdr:from>
    <xdr:to>
      <xdr:col>10</xdr:col>
      <xdr:colOff>295275</xdr:colOff>
      <xdr:row>38</xdr:row>
      <xdr:rowOff>28575</xdr:rowOff>
    </xdr:to>
    <xdr:graphicFrame macro="">
      <xdr:nvGraphicFramePr>
        <xdr:cNvPr id="10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581025</xdr:colOff>
      <xdr:row>23</xdr:row>
      <xdr:rowOff>104775</xdr:rowOff>
    </xdr:from>
    <xdr:to>
      <xdr:col>13</xdr:col>
      <xdr:colOff>676275</xdr:colOff>
      <xdr:row>41</xdr:row>
      <xdr:rowOff>85725</xdr:rowOff>
    </xdr:to>
    <xdr:graphicFrame macro="">
      <xdr:nvGraphicFramePr>
        <xdr:cNvPr id="103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123825</xdr:rowOff>
    </xdr:from>
    <xdr:to>
      <xdr:col>16</xdr:col>
      <xdr:colOff>85725</xdr:colOff>
      <xdr:row>31</xdr:row>
      <xdr:rowOff>0</xdr:rowOff>
    </xdr:to>
    <xdr:pic>
      <xdr:nvPicPr>
        <xdr:cNvPr id="2" name="Picture 1" descr="https://www.heavy-liquid.com/wp-content/uploads/2017/11/viskositaet-waessriger-ntriumpolywolframat-loesungen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123825"/>
          <a:ext cx="7620000" cy="521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opLeftCell="A16" workbookViewId="0">
      <selection activeCell="B21" sqref="B21"/>
    </sheetView>
  </sheetViews>
  <sheetFormatPr defaultColWidth="11.42578125" defaultRowHeight="12.75" x14ac:dyDescent="0.2"/>
  <cols>
    <col min="1" max="1" width="13.7109375" customWidth="1"/>
    <col min="2" max="2" width="19.5703125" customWidth="1"/>
    <col min="3" max="3" width="11.42578125" customWidth="1"/>
    <col min="4" max="4" width="24.5703125" customWidth="1"/>
    <col min="5" max="5" width="36.7109375" customWidth="1"/>
    <col min="6" max="7" width="11.42578125" customWidth="1"/>
    <col min="8" max="8" width="11.5703125" customWidth="1"/>
    <col min="9" max="11" width="11.42578125" customWidth="1"/>
    <col min="12" max="12" width="23.85546875" customWidth="1"/>
    <col min="13" max="14" width="11.42578125" customWidth="1"/>
    <col min="15" max="15" width="23.7109375" customWidth="1"/>
    <col min="16" max="16" width="25.5703125" customWidth="1"/>
  </cols>
  <sheetData>
    <row r="1" spans="1:18" x14ac:dyDescent="0.2">
      <c r="A1" s="19" t="s">
        <v>53</v>
      </c>
      <c r="F1" s="42" t="s">
        <v>105</v>
      </c>
    </row>
    <row r="2" spans="1:18" ht="13.5" thickBot="1" x14ac:dyDescent="0.25"/>
    <row r="3" spans="1:18" x14ac:dyDescent="0.2">
      <c r="A3" s="1" t="s">
        <v>26</v>
      </c>
      <c r="B3" s="2"/>
      <c r="C3" s="3"/>
      <c r="D3" s="1" t="s">
        <v>68</v>
      </c>
      <c r="E3" s="2"/>
      <c r="F3" s="3"/>
      <c r="G3" s="5"/>
      <c r="H3" s="1" t="s">
        <v>77</v>
      </c>
      <c r="I3" s="2"/>
      <c r="J3" s="3"/>
      <c r="L3" s="1" t="s">
        <v>77</v>
      </c>
      <c r="M3" s="2"/>
      <c r="N3" s="3"/>
      <c r="O3" s="21"/>
      <c r="P3" s="1" t="s">
        <v>47</v>
      </c>
      <c r="Q3" s="2"/>
      <c r="R3" s="3"/>
    </row>
    <row r="4" spans="1:18" x14ac:dyDescent="0.2">
      <c r="A4" s="4"/>
      <c r="B4" s="5"/>
      <c r="C4" s="6"/>
      <c r="D4" s="4"/>
      <c r="E4" s="5"/>
      <c r="F4" s="6"/>
      <c r="G4" s="5"/>
      <c r="H4" s="4" t="s">
        <v>81</v>
      </c>
      <c r="I4" s="5"/>
      <c r="J4" s="6"/>
      <c r="L4" s="4" t="s">
        <v>86</v>
      </c>
      <c r="M4" s="5"/>
      <c r="N4" s="6"/>
      <c r="O4" s="21"/>
      <c r="P4" s="4" t="s">
        <v>41</v>
      </c>
      <c r="Q4" s="5"/>
      <c r="R4" s="6"/>
    </row>
    <row r="5" spans="1:18" x14ac:dyDescent="0.2">
      <c r="A5" s="4" t="s">
        <v>0</v>
      </c>
      <c r="B5" s="5"/>
      <c r="C5" s="6"/>
      <c r="D5" s="4" t="s">
        <v>70</v>
      </c>
      <c r="E5" s="5"/>
      <c r="F5" s="6"/>
      <c r="G5" s="5"/>
      <c r="H5" s="4" t="s">
        <v>27</v>
      </c>
      <c r="I5" s="5" t="s">
        <v>78</v>
      </c>
      <c r="J5" s="6" t="s">
        <v>28</v>
      </c>
      <c r="L5" s="4" t="s">
        <v>27</v>
      </c>
      <c r="M5" s="5" t="s">
        <v>78</v>
      </c>
      <c r="N5" s="6" t="s">
        <v>28</v>
      </c>
      <c r="O5" s="21"/>
      <c r="P5" s="4" t="s">
        <v>44</v>
      </c>
      <c r="Q5" s="5" t="s">
        <v>42</v>
      </c>
      <c r="R5" s="14">
        <v>1.0129999999999999</v>
      </c>
    </row>
    <row r="6" spans="1:18" x14ac:dyDescent="0.2">
      <c r="A6" s="21" t="s">
        <v>72</v>
      </c>
      <c r="C6" t="s">
        <v>73</v>
      </c>
      <c r="D6" s="4" t="s">
        <v>71</v>
      </c>
      <c r="E6" s="5"/>
      <c r="F6" s="6" t="s">
        <v>69</v>
      </c>
      <c r="G6" s="5"/>
      <c r="H6" s="17">
        <v>15</v>
      </c>
      <c r="I6" s="5">
        <v>1139</v>
      </c>
      <c r="J6" s="6">
        <v>999.10159999999996</v>
      </c>
      <c r="L6" s="17">
        <v>26</v>
      </c>
      <c r="M6" s="5">
        <v>874.8</v>
      </c>
      <c r="N6" s="6">
        <v>996.76</v>
      </c>
      <c r="O6" s="21"/>
      <c r="P6" s="4" t="s">
        <v>45</v>
      </c>
      <c r="Q6" s="5" t="s">
        <v>37</v>
      </c>
      <c r="R6" s="53">
        <f>$B$20</f>
        <v>23</v>
      </c>
    </row>
    <row r="7" spans="1:18" x14ac:dyDescent="0.2">
      <c r="A7" s="4" t="s">
        <v>1</v>
      </c>
      <c r="B7" s="5" t="s">
        <v>52</v>
      </c>
      <c r="C7" s="6" t="s">
        <v>2</v>
      </c>
      <c r="D7" s="4" t="s">
        <v>17</v>
      </c>
      <c r="E7" s="5" t="s">
        <v>18</v>
      </c>
      <c r="F7" s="6" t="s">
        <v>25</v>
      </c>
      <c r="G7" s="5"/>
      <c r="H7" s="17">
        <v>16</v>
      </c>
      <c r="I7" s="5">
        <v>1109</v>
      </c>
      <c r="J7" s="6">
        <v>998.94500000000005</v>
      </c>
      <c r="L7" s="17">
        <v>27</v>
      </c>
      <c r="M7" s="5">
        <v>856.3</v>
      </c>
      <c r="N7" s="6">
        <v>996.49</v>
      </c>
      <c r="O7" s="21"/>
      <c r="P7" s="4" t="s">
        <v>46</v>
      </c>
      <c r="Q7" s="5" t="s">
        <v>43</v>
      </c>
      <c r="R7" s="14">
        <v>30</v>
      </c>
    </row>
    <row r="8" spans="1:18" x14ac:dyDescent="0.2">
      <c r="A8" s="4" t="s">
        <v>3</v>
      </c>
      <c r="B8" s="5" t="s">
        <v>4</v>
      </c>
      <c r="C8" s="6" t="s">
        <v>74</v>
      </c>
      <c r="D8" s="4" t="s">
        <v>19</v>
      </c>
      <c r="E8" s="5" t="s">
        <v>20</v>
      </c>
      <c r="F8" s="6" t="s">
        <v>21</v>
      </c>
      <c r="G8" s="5"/>
      <c r="H8" s="17">
        <v>17</v>
      </c>
      <c r="I8" s="5">
        <v>1081</v>
      </c>
      <c r="J8" s="6">
        <v>998.77689999999996</v>
      </c>
      <c r="L8" s="17">
        <v>28</v>
      </c>
      <c r="M8" s="5">
        <v>835.9</v>
      </c>
      <c r="N8" s="6">
        <v>996.19</v>
      </c>
      <c r="O8" s="21"/>
      <c r="P8" s="4"/>
      <c r="Q8" s="5"/>
      <c r="R8" s="6"/>
    </row>
    <row r="9" spans="1:18" x14ac:dyDescent="0.2">
      <c r="A9" s="4" t="s">
        <v>5</v>
      </c>
      <c r="B9" s="5" t="s">
        <v>6</v>
      </c>
      <c r="C9" s="6" t="s">
        <v>21</v>
      </c>
      <c r="D9" s="4"/>
      <c r="E9" s="5"/>
      <c r="F9" s="6"/>
      <c r="G9" s="5"/>
      <c r="H9" s="17">
        <v>18</v>
      </c>
      <c r="I9" s="5">
        <v>1053</v>
      </c>
      <c r="J9" s="6">
        <v>998.59760000000006</v>
      </c>
      <c r="L9" s="17">
        <v>29</v>
      </c>
      <c r="M9" s="5">
        <v>815.9</v>
      </c>
      <c r="N9" s="6">
        <v>995.93</v>
      </c>
      <c r="O9" s="21"/>
      <c r="P9" s="4"/>
      <c r="Q9" s="5"/>
      <c r="R9" s="6"/>
    </row>
    <row r="10" spans="1:18" ht="13.5" thickBot="1" x14ac:dyDescent="0.25">
      <c r="A10" s="4" t="s">
        <v>8</v>
      </c>
      <c r="B10" s="5" t="s">
        <v>9</v>
      </c>
      <c r="C10" s="6" t="s">
        <v>22</v>
      </c>
      <c r="D10" s="4" t="s">
        <v>31</v>
      </c>
      <c r="E10" s="5" t="s">
        <v>55</v>
      </c>
      <c r="F10" s="6" t="s">
        <v>21</v>
      </c>
      <c r="G10" s="5"/>
      <c r="H10" s="17">
        <v>19</v>
      </c>
      <c r="I10" s="5">
        <v>1027</v>
      </c>
      <c r="J10" s="6">
        <v>998.40729999999996</v>
      </c>
      <c r="L10" s="18">
        <v>30</v>
      </c>
      <c r="M10" s="8">
        <v>797.5</v>
      </c>
      <c r="N10" s="9">
        <v>995.65110000000004</v>
      </c>
      <c r="O10" s="21"/>
      <c r="P10" s="7" t="s">
        <v>49</v>
      </c>
      <c r="Q10" s="8" t="s">
        <v>48</v>
      </c>
      <c r="R10" s="15">
        <f>1.791-(0.06144*R6)+(0.001451*R6*R6)-(0.000016826*R6*R6*R6)-(0.0001529*R5)+(0.000000083885*R5*R5)+(0.0024727*R7)+R6*(0.0000060574*R5-0.000000002676*R5*R5)+R7*(0.000048429*R6-0.0000047172*R6*R6+0.000000075986*R6*R6*R6)</f>
        <v>1.001194020444137</v>
      </c>
    </row>
    <row r="11" spans="1:18" x14ac:dyDescent="0.2">
      <c r="A11" s="4" t="s">
        <v>10</v>
      </c>
      <c r="B11" s="5" t="s">
        <v>11</v>
      </c>
      <c r="C11" s="6" t="s">
        <v>24</v>
      </c>
      <c r="D11" s="38" t="s">
        <v>89</v>
      </c>
      <c r="E11" s="5" t="s">
        <v>98</v>
      </c>
      <c r="F11" s="6" t="s">
        <v>21</v>
      </c>
      <c r="G11" s="5"/>
      <c r="H11" s="17">
        <v>20</v>
      </c>
      <c r="I11" s="5">
        <v>1002</v>
      </c>
      <c r="J11" s="6">
        <v>998.20630000000006</v>
      </c>
      <c r="L11" s="37"/>
      <c r="M11" s="5"/>
      <c r="N11" s="5"/>
      <c r="O11" s="21"/>
      <c r="P11" s="21"/>
      <c r="Q11" s="21"/>
    </row>
    <row r="12" spans="1:18" ht="13.5" thickBot="1" x14ac:dyDescent="0.25">
      <c r="A12" s="4" t="s">
        <v>13</v>
      </c>
      <c r="B12" s="5" t="s">
        <v>14</v>
      </c>
      <c r="C12" s="6" t="s">
        <v>24</v>
      </c>
      <c r="D12" s="4" t="s">
        <v>34</v>
      </c>
      <c r="E12" s="39" t="s">
        <v>97</v>
      </c>
      <c r="F12" s="6" t="s">
        <v>21</v>
      </c>
      <c r="G12" s="5"/>
      <c r="H12" s="17">
        <v>21</v>
      </c>
      <c r="I12" s="5">
        <v>977.9</v>
      </c>
      <c r="J12" s="6">
        <v>997.99480000000005</v>
      </c>
      <c r="L12" s="37"/>
      <c r="M12" s="5"/>
      <c r="N12" s="5"/>
      <c r="O12" s="21"/>
      <c r="P12" s="21"/>
      <c r="Q12" s="21"/>
    </row>
    <row r="13" spans="1:18" x14ac:dyDescent="0.2">
      <c r="A13" s="4" t="s">
        <v>15</v>
      </c>
      <c r="B13" s="5" t="s">
        <v>16</v>
      </c>
      <c r="C13" s="6" t="s">
        <v>21</v>
      </c>
      <c r="D13" s="4" t="s">
        <v>57</v>
      </c>
      <c r="E13" s="5" t="s">
        <v>58</v>
      </c>
      <c r="F13" s="6" t="s">
        <v>21</v>
      </c>
      <c r="G13" s="5"/>
      <c r="H13" s="17">
        <v>22</v>
      </c>
      <c r="I13" s="5">
        <v>954.8</v>
      </c>
      <c r="J13" s="6">
        <v>997.77300000000002</v>
      </c>
      <c r="L13" s="37"/>
      <c r="M13" s="5"/>
      <c r="N13" s="5"/>
      <c r="O13" s="21"/>
      <c r="P13" s="46" t="s">
        <v>104</v>
      </c>
      <c r="Q13" s="51"/>
      <c r="R13" s="3"/>
    </row>
    <row r="14" spans="1:18" x14ac:dyDescent="0.2">
      <c r="A14" s="4"/>
      <c r="B14" s="5"/>
      <c r="C14" s="6"/>
      <c r="D14" s="4"/>
      <c r="E14" s="5"/>
      <c r="F14" s="6"/>
      <c r="G14" s="5"/>
      <c r="H14" s="17">
        <v>23</v>
      </c>
      <c r="I14" s="5">
        <v>932.5</v>
      </c>
      <c r="J14" s="6">
        <v>997.5412</v>
      </c>
      <c r="L14" s="37"/>
      <c r="M14" s="5"/>
      <c r="N14" s="5"/>
      <c r="O14" s="21"/>
      <c r="P14" s="47" t="s">
        <v>99</v>
      </c>
      <c r="Q14" s="50">
        <f>0.824493-0.0040899*$B$20+0.000076438*$B$20^2</f>
        <v>0.77086100200000007</v>
      </c>
      <c r="R14" s="6"/>
    </row>
    <row r="15" spans="1:18" x14ac:dyDescent="0.2">
      <c r="A15" s="4"/>
      <c r="B15" s="5"/>
      <c r="C15" s="6"/>
      <c r="D15" s="38" t="s">
        <v>90</v>
      </c>
      <c r="E15" s="5" t="s">
        <v>66</v>
      </c>
      <c r="F15" s="6" t="s">
        <v>21</v>
      </c>
      <c r="H15" s="17">
        <v>24</v>
      </c>
      <c r="I15" s="5">
        <v>911.1</v>
      </c>
      <c r="J15" s="6">
        <v>997.29939999999999</v>
      </c>
      <c r="L15" s="37"/>
      <c r="M15" s="5"/>
      <c r="N15" s="5"/>
      <c r="O15" s="21"/>
      <c r="P15" s="47" t="s">
        <v>100</v>
      </c>
      <c r="Q15" s="50">
        <f>-0.00572466+0.00010227*$B$20-0.0000016546*$B$20^2</f>
        <v>-4.2477334000000002E-3</v>
      </c>
      <c r="R15" s="6"/>
    </row>
    <row r="16" spans="1:18" ht="13.5" thickBot="1" x14ac:dyDescent="0.25">
      <c r="A16" s="7"/>
      <c r="B16" s="8"/>
      <c r="C16" s="9"/>
      <c r="D16" s="40" t="s">
        <v>91</v>
      </c>
      <c r="E16" s="8" t="s">
        <v>67</v>
      </c>
      <c r="F16" s="9" t="s">
        <v>21</v>
      </c>
      <c r="H16" s="17">
        <v>25</v>
      </c>
      <c r="I16" s="5">
        <v>890.4</v>
      </c>
      <c r="J16" s="6">
        <v>997.048</v>
      </c>
      <c r="L16" s="37"/>
      <c r="M16" s="5"/>
      <c r="N16" s="5"/>
      <c r="O16" s="21"/>
      <c r="P16" s="47" t="s">
        <v>101</v>
      </c>
      <c r="Q16" s="50">
        <v>4.8314000000000001E-4</v>
      </c>
      <c r="R16" s="6"/>
    </row>
    <row r="17" spans="1:18" ht="16.5" thickBot="1" x14ac:dyDescent="0.35">
      <c r="H17" s="18">
        <v>30</v>
      </c>
      <c r="I17" s="8">
        <v>797.5</v>
      </c>
      <c r="J17" s="9">
        <v>995.65110000000004</v>
      </c>
      <c r="L17" s="37"/>
      <c r="M17" s="5"/>
      <c r="N17" s="5"/>
      <c r="O17" s="21"/>
      <c r="P17" s="47" t="s">
        <v>102</v>
      </c>
      <c r="Q17" s="50">
        <f>999.842594+0.06793952*$B$20-0.00909529*$B$20^2+0.0001001685*$B$20^3-0.000001120083*$B$20^4+0.000000006536332*$B$20^5</f>
        <v>997.54116961741079</v>
      </c>
      <c r="R17" s="6"/>
    </row>
    <row r="18" spans="1:18" ht="13.5" thickBot="1" x14ac:dyDescent="0.25">
      <c r="A18" s="10" t="s">
        <v>29</v>
      </c>
      <c r="B18" s="11" t="s">
        <v>62</v>
      </c>
      <c r="D18" s="11" t="s">
        <v>32</v>
      </c>
      <c r="O18" s="21"/>
      <c r="P18" s="48"/>
      <c r="Q18" s="34"/>
      <c r="R18" s="6"/>
    </row>
    <row r="19" spans="1:18" ht="13.5" thickBot="1" x14ac:dyDescent="0.25">
      <c r="A19" s="10" t="s">
        <v>54</v>
      </c>
      <c r="B19" s="10">
        <v>1</v>
      </c>
      <c r="H19" s="1" t="s">
        <v>79</v>
      </c>
      <c r="I19" s="2"/>
      <c r="J19" s="3"/>
      <c r="P19" s="49" t="s">
        <v>103</v>
      </c>
      <c r="Q19" s="52">
        <f>Q17+Q14*R7+Q15*R7^(3/2)+Q16*R7</f>
        <v>1019.9835200569763</v>
      </c>
      <c r="R19" s="9"/>
    </row>
    <row r="20" spans="1:18" x14ac:dyDescent="0.2">
      <c r="A20" s="10" t="s">
        <v>36</v>
      </c>
      <c r="B20" s="10">
        <v>23</v>
      </c>
      <c r="C20" s="10" t="s">
        <v>37</v>
      </c>
      <c r="H20" s="30" t="b">
        <f>IF(B20=15,I6,IF(B20=16,I7,IF(B20=17,I8,IF(B20=18,I9,IF(B20=19,I10,IF(B20=20,I11,IF(B20=21,I12,IF(B20=22,I13))))))))</f>
        <v>0</v>
      </c>
      <c r="I20" s="5"/>
      <c r="J20" s="6"/>
    </row>
    <row r="21" spans="1:18" ht="13.5" thickBot="1" x14ac:dyDescent="0.25">
      <c r="A21" s="10" t="s">
        <v>50</v>
      </c>
      <c r="B21" s="10">
        <v>1</v>
      </c>
      <c r="C21" s="10"/>
      <c r="H21" s="31">
        <f>IF(B20=23,I14,IF(B20=24,I15,IF(B20=25,I16,IF(B20=26,M6,IF(B20=27,M7,IF(B20=28,M8,IF(B20=29,M9,IF(B20=30,M10))))))))</f>
        <v>932.5</v>
      </c>
      <c r="I21" s="8"/>
      <c r="J21" s="9"/>
    </row>
    <row r="22" spans="1:18" x14ac:dyDescent="0.2">
      <c r="A22" s="10" t="s">
        <v>15</v>
      </c>
      <c r="B22" s="29">
        <v>2</v>
      </c>
      <c r="C22" s="10" t="s">
        <v>51</v>
      </c>
      <c r="D22" s="16">
        <f>B22/1000000</f>
        <v>1.9999999999999999E-6</v>
      </c>
      <c r="E22" s="11" t="s">
        <v>21</v>
      </c>
      <c r="H22" s="1" t="s">
        <v>80</v>
      </c>
      <c r="I22" s="2"/>
      <c r="J22" s="3"/>
    </row>
    <row r="23" spans="1:18" x14ac:dyDescent="0.2">
      <c r="A23" s="10" t="s">
        <v>10</v>
      </c>
      <c r="B23" s="10">
        <v>2.65</v>
      </c>
      <c r="C23" s="10" t="s">
        <v>12</v>
      </c>
      <c r="D23" s="11">
        <f>B23*1000</f>
        <v>2650</v>
      </c>
      <c r="E23" s="11" t="s">
        <v>24</v>
      </c>
      <c r="H23" s="30" t="b">
        <f>IF(B20=15,J6,IF(B20=16,J7,IF(B20=17,J8,IF(B20=18,J9,IF(B20=19,J10,IF(B20=20,J11,IF(B20=21,J12,IF(B20=22,J13))))))))</f>
        <v>0</v>
      </c>
      <c r="I23" s="5"/>
      <c r="J23" s="6"/>
    </row>
    <row r="24" spans="1:18" ht="13.5" thickBot="1" x14ac:dyDescent="0.25">
      <c r="A24" s="11" t="s">
        <v>3</v>
      </c>
      <c r="B24" s="11">
        <f>IF(B21=2,$R$10/1000,IF(B21=1,IF(B20&lt;23,$H$20/1000000,$H$21/1000000)))</f>
        <v>9.3249999999999995E-4</v>
      </c>
      <c r="C24" s="11" t="s">
        <v>23</v>
      </c>
      <c r="D24" s="11">
        <f>B24</f>
        <v>9.3249999999999995E-4</v>
      </c>
      <c r="E24" s="11" t="s">
        <v>23</v>
      </c>
      <c r="H24" s="31">
        <f>IF(B20=23,J14,IF(B20=24,J15,IF(B20=25,J16,IF(B20=26,N6,IF(B20=Durchmesser!H2427,N7,IF(B20=28,N8,IF(B20=29,N9,IF(B20=30,N10))))))))</f>
        <v>997.5412</v>
      </c>
      <c r="I24" s="8"/>
      <c r="J24" s="9"/>
    </row>
    <row r="25" spans="1:18" x14ac:dyDescent="0.2">
      <c r="A25" s="11" t="s">
        <v>13</v>
      </c>
      <c r="B25" s="11">
        <f>IF(B21=1,IF(B20&lt;23,H23/1000,H24/1000),Q19/1000)</f>
        <v>0.99754120000000002</v>
      </c>
      <c r="C25" s="11" t="s">
        <v>12</v>
      </c>
      <c r="D25" s="11">
        <f>B25*1000</f>
        <v>997.5412</v>
      </c>
      <c r="E25" s="11" t="s">
        <v>24</v>
      </c>
    </row>
    <row r="26" spans="1:18" x14ac:dyDescent="0.2">
      <c r="A26" s="11" t="str">
        <f>IF(B19=1,"Ks","Kz")</f>
        <v>Ks</v>
      </c>
      <c r="B26" s="11"/>
      <c r="C26" s="11"/>
      <c r="D26" s="11">
        <f>IF(B19=1,18*D24/D42/(D23-D25),18*D24/(D23-D25)/4/PI()^2)</f>
        <v>1.0354322748088644E-6</v>
      </c>
      <c r="E26" s="11" t="str">
        <f>IF(B19=1,"[m*s]","[m²/s]")</f>
        <v>[m*s]</v>
      </c>
    </row>
    <row r="28" spans="1:18" x14ac:dyDescent="0.2">
      <c r="A28" s="22" t="s">
        <v>59</v>
      </c>
    </row>
    <row r="29" spans="1:18" x14ac:dyDescent="0.2">
      <c r="A29" s="41"/>
      <c r="B29" s="32"/>
      <c r="C29" s="32"/>
      <c r="D29" s="32"/>
    </row>
    <row r="30" spans="1:18" x14ac:dyDescent="0.2">
      <c r="A30" s="10" t="s">
        <v>17</v>
      </c>
      <c r="B30" s="10">
        <v>1000</v>
      </c>
      <c r="C30" s="10" t="s">
        <v>30</v>
      </c>
      <c r="D30" s="11">
        <f>B30/60</f>
        <v>16.666666666666668</v>
      </c>
      <c r="E30" s="11" t="s">
        <v>25</v>
      </c>
      <c r="F30" s="22"/>
    </row>
    <row r="31" spans="1:18" x14ac:dyDescent="0.2">
      <c r="A31" s="10" t="s">
        <v>57</v>
      </c>
      <c r="B31" s="10">
        <v>0</v>
      </c>
      <c r="C31" s="10" t="s">
        <v>7</v>
      </c>
      <c r="D31" s="11">
        <f t="shared" ref="D31:D36" si="0">B31/100</f>
        <v>0</v>
      </c>
      <c r="E31" s="11" t="s">
        <v>21</v>
      </c>
    </row>
    <row r="32" spans="1:18" x14ac:dyDescent="0.2">
      <c r="A32" s="10" t="s">
        <v>34</v>
      </c>
      <c r="B32" s="10">
        <v>8.4</v>
      </c>
      <c r="C32" s="10" t="s">
        <v>7</v>
      </c>
      <c r="D32" s="11">
        <f t="shared" si="0"/>
        <v>8.4000000000000005E-2</v>
      </c>
      <c r="E32" s="11" t="s">
        <v>21</v>
      </c>
    </row>
    <row r="33" spans="1:9" x14ac:dyDescent="0.2">
      <c r="A33" s="32" t="s">
        <v>31</v>
      </c>
      <c r="B33" s="43">
        <v>19.8</v>
      </c>
      <c r="C33" s="32" t="s">
        <v>7</v>
      </c>
      <c r="D33" s="11">
        <f t="shared" si="0"/>
        <v>0.19800000000000001</v>
      </c>
      <c r="E33" s="11" t="s">
        <v>21</v>
      </c>
    </row>
    <row r="34" spans="1:9" x14ac:dyDescent="0.2">
      <c r="A34" s="41" t="s">
        <v>89</v>
      </c>
      <c r="B34" s="43">
        <v>8.4</v>
      </c>
      <c r="C34" s="32" t="s">
        <v>7</v>
      </c>
      <c r="D34" s="11">
        <f t="shared" si="0"/>
        <v>8.4000000000000005E-2</v>
      </c>
      <c r="E34" s="11" t="s">
        <v>21</v>
      </c>
    </row>
    <row r="35" spans="1:9" x14ac:dyDescent="0.2">
      <c r="A35" s="11" t="s">
        <v>65</v>
      </c>
      <c r="B35" s="12">
        <f>B33-B34+B31</f>
        <v>11.4</v>
      </c>
      <c r="C35" s="11" t="s">
        <v>7</v>
      </c>
      <c r="D35" s="11">
        <f t="shared" si="0"/>
        <v>0.114</v>
      </c>
      <c r="E35" s="11" t="s">
        <v>21</v>
      </c>
    </row>
    <row r="36" spans="1:9" x14ac:dyDescent="0.2">
      <c r="A36" s="11" t="s">
        <v>19</v>
      </c>
      <c r="B36" s="12">
        <f>B33-B34+B32</f>
        <v>19.8</v>
      </c>
      <c r="C36" s="11" t="s">
        <v>7</v>
      </c>
      <c r="D36" s="11">
        <f t="shared" si="0"/>
        <v>0.19800000000000001</v>
      </c>
      <c r="E36" s="11" t="s">
        <v>21</v>
      </c>
    </row>
    <row r="39" spans="1:9" ht="13.5" thickBot="1" x14ac:dyDescent="0.25">
      <c r="A39" s="22" t="s">
        <v>60</v>
      </c>
    </row>
    <row r="40" spans="1:9" x14ac:dyDescent="0.2">
      <c r="A40" s="10" t="s">
        <v>33</v>
      </c>
      <c r="B40" s="10">
        <v>30</v>
      </c>
      <c r="C40" s="10" t="s">
        <v>7</v>
      </c>
      <c r="D40" s="11">
        <f>B40/100</f>
        <v>0.3</v>
      </c>
      <c r="E40" s="11" t="s">
        <v>21</v>
      </c>
      <c r="F40" s="23" t="s">
        <v>63</v>
      </c>
      <c r="G40" s="2"/>
      <c r="H40" s="2"/>
      <c r="I40" s="3"/>
    </row>
    <row r="41" spans="1:9" ht="13.5" thickBot="1" x14ac:dyDescent="0.25">
      <c r="A41" s="10" t="s">
        <v>61</v>
      </c>
      <c r="B41" s="10">
        <v>0</v>
      </c>
      <c r="C41" s="10" t="s">
        <v>7</v>
      </c>
      <c r="D41" s="11">
        <f>B41/100</f>
        <v>0</v>
      </c>
      <c r="E41" s="11" t="s">
        <v>21</v>
      </c>
      <c r="F41" s="24" t="s">
        <v>64</v>
      </c>
      <c r="G41" s="8"/>
      <c r="H41" s="8"/>
      <c r="I41" s="9"/>
    </row>
    <row r="42" spans="1:9" x14ac:dyDescent="0.2">
      <c r="A42" s="10" t="s">
        <v>8</v>
      </c>
      <c r="B42" s="29">
        <v>9.81</v>
      </c>
      <c r="C42" s="10" t="s">
        <v>22</v>
      </c>
      <c r="D42" s="20">
        <f>B42</f>
        <v>9.81</v>
      </c>
      <c r="E42" s="11" t="s">
        <v>22</v>
      </c>
      <c r="F42" s="21"/>
      <c r="G42" s="5"/>
      <c r="H42" s="5"/>
      <c r="I42" s="5"/>
    </row>
    <row r="43" spans="1:9" x14ac:dyDescent="0.2">
      <c r="A43" s="11" t="s">
        <v>5</v>
      </c>
      <c r="B43" s="20">
        <f>IF(B19=1,B40-B41,"")</f>
        <v>30</v>
      </c>
      <c r="C43" s="11" t="s">
        <v>7</v>
      </c>
      <c r="D43" s="11">
        <f>B43/100</f>
        <v>0.3</v>
      </c>
      <c r="E43" s="11" t="s">
        <v>21</v>
      </c>
      <c r="F43" s="21"/>
      <c r="G43" s="5"/>
      <c r="H43" s="5"/>
      <c r="I43" s="5"/>
    </row>
    <row r="45" spans="1:9" x14ac:dyDescent="0.2">
      <c r="A45" s="11" t="s">
        <v>82</v>
      </c>
      <c r="B45" s="11"/>
      <c r="C45" s="11"/>
    </row>
    <row r="46" spans="1:9" x14ac:dyDescent="0.2">
      <c r="A46" s="11"/>
      <c r="B46" s="12"/>
      <c r="C46" s="11"/>
    </row>
    <row r="47" spans="1:9" x14ac:dyDescent="0.2">
      <c r="A47" s="11" t="s">
        <v>1</v>
      </c>
      <c r="B47" s="12">
        <f>IF(B19=1,D26*D43/D22^2,D26/D22^2/D30^2*LN(D36/D35))</f>
        <v>77657.42061066482</v>
      </c>
      <c r="C47" s="11" t="s">
        <v>2</v>
      </c>
    </row>
    <row r="48" spans="1:9" x14ac:dyDescent="0.2">
      <c r="A48" s="11" t="s">
        <v>1</v>
      </c>
      <c r="B48" s="12">
        <f>B47/60</f>
        <v>1294.2903435110804</v>
      </c>
      <c r="C48" s="11" t="s">
        <v>38</v>
      </c>
    </row>
    <row r="49" spans="1:7" ht="13.5" thickBot="1" x14ac:dyDescent="0.25">
      <c r="A49" s="11" t="s">
        <v>1</v>
      </c>
      <c r="B49" s="13">
        <f>INT(B47/60)</f>
        <v>1294</v>
      </c>
      <c r="C49" s="11" t="s">
        <v>39</v>
      </c>
      <c r="D49" s="13">
        <f>B47-B49*60</f>
        <v>17.420610664819833</v>
      </c>
      <c r="E49" s="11" t="s">
        <v>2</v>
      </c>
    </row>
    <row r="50" spans="1:7" ht="13.5" thickBot="1" x14ac:dyDescent="0.25">
      <c r="A50" s="25" t="s">
        <v>1</v>
      </c>
      <c r="B50" s="27">
        <f>INT(B49/60)</f>
        <v>21</v>
      </c>
      <c r="C50" s="28" t="s">
        <v>40</v>
      </c>
      <c r="D50" s="28">
        <f>B49-B50*60</f>
        <v>34</v>
      </c>
      <c r="E50" s="28" t="s">
        <v>39</v>
      </c>
      <c r="F50" s="27">
        <f>D49</f>
        <v>17.420610664819833</v>
      </c>
      <c r="G50" s="26" t="s">
        <v>2</v>
      </c>
    </row>
    <row r="52" spans="1:7" x14ac:dyDescent="0.2">
      <c r="A52" s="33" t="s">
        <v>92</v>
      </c>
      <c r="B52" s="33"/>
      <c r="C52" s="33"/>
    </row>
    <row r="53" spans="1:7" x14ac:dyDescent="0.2">
      <c r="A53" s="33"/>
      <c r="B53" s="33" t="s">
        <v>93</v>
      </c>
      <c r="C53" s="33" t="s">
        <v>94</v>
      </c>
    </row>
    <row r="54" spans="1:7" x14ac:dyDescent="0.2">
      <c r="A54" t="s">
        <v>95</v>
      </c>
      <c r="B54" s="44">
        <v>19.399999999999999</v>
      </c>
      <c r="C54" s="22">
        <v>12.3</v>
      </c>
    </row>
    <row r="55" spans="1:7" x14ac:dyDescent="0.2">
      <c r="A55" t="s">
        <v>96</v>
      </c>
      <c r="B55" s="45">
        <v>18.95</v>
      </c>
      <c r="C55" s="21">
        <v>11.3</v>
      </c>
    </row>
    <row r="56" spans="1:7" x14ac:dyDescent="0.2">
      <c r="A56" s="22"/>
      <c r="B56" s="22"/>
      <c r="C56" s="21"/>
    </row>
    <row r="57" spans="1:7" x14ac:dyDescent="0.2">
      <c r="A57" s="32" t="s">
        <v>83</v>
      </c>
      <c r="B57" s="32"/>
      <c r="C57" s="32"/>
      <c r="D57" s="32"/>
    </row>
    <row r="58" spans="1:7" x14ac:dyDescent="0.2">
      <c r="A58" s="32" t="s">
        <v>31</v>
      </c>
      <c r="B58" s="33">
        <v>18.100000000000001</v>
      </c>
    </row>
    <row r="59" spans="1:7" x14ac:dyDescent="0.2">
      <c r="A59" s="32" t="s">
        <v>89</v>
      </c>
      <c r="B59" s="32">
        <v>11</v>
      </c>
      <c r="D59" s="22"/>
      <c r="E59" s="22"/>
    </row>
    <row r="61" spans="1:7" x14ac:dyDescent="0.2">
      <c r="A61" s="32" t="s">
        <v>111</v>
      </c>
    </row>
    <row r="62" spans="1:7" x14ac:dyDescent="0.2">
      <c r="A62" s="32" t="s">
        <v>31</v>
      </c>
      <c r="B62" s="32">
        <v>19.8</v>
      </c>
      <c r="C62" t="s">
        <v>112</v>
      </c>
    </row>
    <row r="63" spans="1:7" x14ac:dyDescent="0.2">
      <c r="A63" s="32" t="s">
        <v>89</v>
      </c>
      <c r="B63" s="32">
        <v>8.4</v>
      </c>
      <c r="C63" t="s">
        <v>112</v>
      </c>
    </row>
  </sheetData>
  <phoneticPr fontId="0" type="noConversion"/>
  <pageMargins left="0.75" right="0.75" top="1" bottom="1" header="0.4921259845" footer="0.4921259845"/>
  <pageSetup paperSize="9" scale="5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4"/>
  <sheetViews>
    <sheetView workbookViewId="0">
      <selection activeCell="B20" sqref="B20"/>
    </sheetView>
  </sheetViews>
  <sheetFormatPr defaultColWidth="11.42578125" defaultRowHeight="12.75" x14ac:dyDescent="0.2"/>
  <cols>
    <col min="1" max="1" width="13.7109375" customWidth="1"/>
    <col min="2" max="2" width="19.5703125" customWidth="1"/>
    <col min="3" max="3" width="11.42578125" customWidth="1"/>
    <col min="4" max="4" width="24.5703125" customWidth="1"/>
    <col min="5" max="5" width="36.7109375" customWidth="1"/>
    <col min="6" max="7" width="11.42578125" customWidth="1"/>
    <col min="8" max="8" width="11.5703125" customWidth="1"/>
    <col min="9" max="11" width="11.42578125" customWidth="1"/>
    <col min="12" max="12" width="25.5703125" customWidth="1"/>
  </cols>
  <sheetData>
    <row r="1" spans="1:18" x14ac:dyDescent="0.2">
      <c r="A1" s="19" t="s">
        <v>53</v>
      </c>
      <c r="F1" s="42" t="s">
        <v>105</v>
      </c>
    </row>
    <row r="2" spans="1:18" ht="13.5" thickBot="1" x14ac:dyDescent="0.25"/>
    <row r="3" spans="1:18" x14ac:dyDescent="0.2">
      <c r="A3" s="1" t="s">
        <v>26</v>
      </c>
      <c r="B3" s="2"/>
      <c r="C3" s="3"/>
      <c r="D3" s="1" t="s">
        <v>68</v>
      </c>
      <c r="E3" s="2"/>
      <c r="F3" s="3"/>
      <c r="G3" s="5"/>
      <c r="H3" s="1" t="s">
        <v>77</v>
      </c>
      <c r="I3" s="2"/>
      <c r="J3" s="3"/>
      <c r="L3" s="1" t="s">
        <v>77</v>
      </c>
      <c r="M3" s="2"/>
      <c r="N3" s="3"/>
      <c r="O3" s="21"/>
      <c r="P3" s="1" t="s">
        <v>47</v>
      </c>
      <c r="Q3" s="2"/>
      <c r="R3" s="3"/>
    </row>
    <row r="4" spans="1:18" x14ac:dyDescent="0.2">
      <c r="A4" s="4"/>
      <c r="B4" s="5"/>
      <c r="C4" s="6"/>
      <c r="D4" s="4"/>
      <c r="E4" s="5"/>
      <c r="F4" s="6"/>
      <c r="G4" s="5"/>
      <c r="H4" s="4" t="s">
        <v>81</v>
      </c>
      <c r="I4" s="5"/>
      <c r="J4" s="6"/>
      <c r="L4" s="4" t="s">
        <v>86</v>
      </c>
      <c r="M4" s="5"/>
      <c r="N4" s="6"/>
      <c r="O4" s="21"/>
      <c r="P4" s="4" t="s">
        <v>41</v>
      </c>
      <c r="Q4" s="5"/>
      <c r="R4" s="6"/>
    </row>
    <row r="5" spans="1:18" x14ac:dyDescent="0.2">
      <c r="A5" s="4" t="s">
        <v>0</v>
      </c>
      <c r="B5" s="5"/>
      <c r="C5" s="6"/>
      <c r="D5" s="4" t="s">
        <v>70</v>
      </c>
      <c r="E5" s="5"/>
      <c r="F5" s="6"/>
      <c r="G5" s="5"/>
      <c r="H5" s="4" t="s">
        <v>27</v>
      </c>
      <c r="I5" s="5" t="s">
        <v>78</v>
      </c>
      <c r="J5" s="6" t="s">
        <v>28</v>
      </c>
      <c r="L5" s="4" t="s">
        <v>27</v>
      </c>
      <c r="M5" s="5" t="s">
        <v>78</v>
      </c>
      <c r="N5" s="6" t="s">
        <v>28</v>
      </c>
      <c r="O5" s="21"/>
      <c r="P5" s="4" t="s">
        <v>44</v>
      </c>
      <c r="Q5" s="5" t="s">
        <v>42</v>
      </c>
      <c r="R5" s="14">
        <v>1.0129999999999999</v>
      </c>
    </row>
    <row r="6" spans="1:18" x14ac:dyDescent="0.2">
      <c r="A6" s="21" t="s">
        <v>72</v>
      </c>
      <c r="C6" t="s">
        <v>73</v>
      </c>
      <c r="D6" s="4" t="s">
        <v>71</v>
      </c>
      <c r="E6" s="5"/>
      <c r="F6" s="6" t="s">
        <v>69</v>
      </c>
      <c r="G6" s="5"/>
      <c r="H6" s="17">
        <v>15</v>
      </c>
      <c r="I6" s="5">
        <v>1139</v>
      </c>
      <c r="J6" s="6">
        <v>999.10159999999996</v>
      </c>
      <c r="L6" s="17">
        <v>26</v>
      </c>
      <c r="M6" s="5">
        <v>874.8</v>
      </c>
      <c r="N6" s="6">
        <v>996.76</v>
      </c>
      <c r="O6" s="21"/>
      <c r="P6" s="4" t="s">
        <v>45</v>
      </c>
      <c r="Q6" s="5" t="s">
        <v>37</v>
      </c>
      <c r="R6" s="14">
        <f>$B$20</f>
        <v>20</v>
      </c>
    </row>
    <row r="7" spans="1:18" x14ac:dyDescent="0.2">
      <c r="A7" s="4" t="s">
        <v>1</v>
      </c>
      <c r="B7" s="5" t="s">
        <v>52</v>
      </c>
      <c r="C7" s="6" t="s">
        <v>2</v>
      </c>
      <c r="D7" s="4" t="s">
        <v>17</v>
      </c>
      <c r="E7" s="5" t="s">
        <v>18</v>
      </c>
      <c r="F7" s="6" t="s">
        <v>25</v>
      </c>
      <c r="G7" s="5"/>
      <c r="H7" s="17">
        <v>16</v>
      </c>
      <c r="I7" s="5">
        <v>1109</v>
      </c>
      <c r="J7" s="6">
        <v>998.94500000000005</v>
      </c>
      <c r="L7" s="17">
        <v>27</v>
      </c>
      <c r="M7" s="5">
        <v>856.3</v>
      </c>
      <c r="N7" s="6">
        <v>996.49</v>
      </c>
      <c r="O7" s="21"/>
      <c r="P7" s="4" t="s">
        <v>46</v>
      </c>
      <c r="Q7" s="5" t="s">
        <v>43</v>
      </c>
      <c r="R7" s="14">
        <v>30</v>
      </c>
    </row>
    <row r="8" spans="1:18" x14ac:dyDescent="0.2">
      <c r="A8" s="4" t="s">
        <v>3</v>
      </c>
      <c r="B8" s="5" t="s">
        <v>4</v>
      </c>
      <c r="C8" s="6" t="s">
        <v>74</v>
      </c>
      <c r="D8" s="4" t="s">
        <v>19</v>
      </c>
      <c r="E8" s="5" t="s">
        <v>20</v>
      </c>
      <c r="F8" s="6" t="s">
        <v>21</v>
      </c>
      <c r="G8" s="5"/>
      <c r="H8" s="17">
        <v>17</v>
      </c>
      <c r="I8" s="5">
        <v>1081</v>
      </c>
      <c r="J8" s="6">
        <v>998.77689999999996</v>
      </c>
      <c r="L8" s="17">
        <v>28</v>
      </c>
      <c r="M8" s="5">
        <v>835.9</v>
      </c>
      <c r="N8" s="6">
        <v>996.19</v>
      </c>
      <c r="O8" s="21"/>
      <c r="P8" s="4"/>
      <c r="Q8" s="5"/>
      <c r="R8" s="6"/>
    </row>
    <row r="9" spans="1:18" x14ac:dyDescent="0.2">
      <c r="A9" s="4" t="s">
        <v>5</v>
      </c>
      <c r="B9" s="5" t="s">
        <v>6</v>
      </c>
      <c r="C9" s="6" t="s">
        <v>21</v>
      </c>
      <c r="D9" s="4"/>
      <c r="E9" s="5"/>
      <c r="F9" s="6"/>
      <c r="G9" s="5"/>
      <c r="H9" s="17">
        <v>18</v>
      </c>
      <c r="I9" s="5">
        <v>1053</v>
      </c>
      <c r="J9" s="6">
        <v>998.59760000000006</v>
      </c>
      <c r="L9" s="17">
        <v>29</v>
      </c>
      <c r="M9" s="5">
        <v>815.9</v>
      </c>
      <c r="N9" s="6">
        <v>995.93</v>
      </c>
      <c r="O9" s="21"/>
      <c r="P9" s="4"/>
      <c r="Q9" s="5"/>
      <c r="R9" s="6"/>
    </row>
    <row r="10" spans="1:18" ht="13.5" thickBot="1" x14ac:dyDescent="0.25">
      <c r="A10" s="4" t="s">
        <v>8</v>
      </c>
      <c r="B10" s="5" t="s">
        <v>9</v>
      </c>
      <c r="C10" s="6" t="s">
        <v>22</v>
      </c>
      <c r="D10" s="4" t="s">
        <v>31</v>
      </c>
      <c r="E10" s="5" t="s">
        <v>55</v>
      </c>
      <c r="F10" s="6" t="s">
        <v>21</v>
      </c>
      <c r="G10" s="5"/>
      <c r="H10" s="17">
        <v>19</v>
      </c>
      <c r="I10" s="5">
        <v>1027</v>
      </c>
      <c r="J10" s="6">
        <v>998.40729999999996</v>
      </c>
      <c r="L10" s="18">
        <v>30</v>
      </c>
      <c r="M10" s="8">
        <v>797.5</v>
      </c>
      <c r="N10" s="9">
        <v>995.65110000000004</v>
      </c>
      <c r="O10" s="21"/>
      <c r="P10" s="7" t="s">
        <v>49</v>
      </c>
      <c r="Q10" s="8" t="s">
        <v>48</v>
      </c>
      <c r="R10" s="15">
        <f>1.791-(0.06144*R6)+(0.001451*R6*R6)-(0.000016826*R6*R6*R6)-(0.0001529*R5)+(0.000000083885*R5*R5)+(0.0024727*R7)+R6*(0.0000060574*R5-0.000000002676*R5*R5)+R7*(0.000048429*R6-0.0000047172*R6*R6+0.000000075986*R6*R6*R6)</f>
        <v>1.0728285063836216</v>
      </c>
    </row>
    <row r="11" spans="1:18" x14ac:dyDescent="0.2">
      <c r="A11" s="4" t="s">
        <v>10</v>
      </c>
      <c r="B11" s="5" t="s">
        <v>11</v>
      </c>
      <c r="C11" s="6" t="s">
        <v>24</v>
      </c>
      <c r="D11" s="4" t="s">
        <v>33</v>
      </c>
      <c r="E11" s="5" t="s">
        <v>35</v>
      </c>
      <c r="F11" s="6" t="s">
        <v>21</v>
      </c>
      <c r="G11" s="5"/>
      <c r="H11" s="17">
        <v>20</v>
      </c>
      <c r="I11" s="5">
        <v>1002</v>
      </c>
      <c r="J11" s="6">
        <v>998.20630000000006</v>
      </c>
      <c r="L11" s="37"/>
      <c r="M11" s="5"/>
      <c r="N11" s="5"/>
      <c r="O11" s="21"/>
      <c r="P11" s="21"/>
      <c r="Q11" s="21"/>
    </row>
    <row r="12" spans="1:18" ht="13.5" thickBot="1" x14ac:dyDescent="0.25">
      <c r="A12" s="4" t="s">
        <v>13</v>
      </c>
      <c r="B12" s="5" t="s">
        <v>14</v>
      </c>
      <c r="C12" s="6" t="s">
        <v>24</v>
      </c>
      <c r="D12" s="4" t="s">
        <v>34</v>
      </c>
      <c r="E12" s="5" t="s">
        <v>76</v>
      </c>
      <c r="F12" s="6" t="s">
        <v>21</v>
      </c>
      <c r="G12" s="5"/>
      <c r="H12" s="17">
        <v>21</v>
      </c>
      <c r="I12" s="5">
        <v>977.9</v>
      </c>
      <c r="J12" s="6">
        <v>997.99480000000005</v>
      </c>
      <c r="L12" s="37"/>
      <c r="M12" s="5"/>
      <c r="N12" s="5"/>
      <c r="O12" s="21"/>
      <c r="P12" s="21"/>
      <c r="Q12" s="21"/>
    </row>
    <row r="13" spans="1:18" x14ac:dyDescent="0.2">
      <c r="A13" s="4" t="s">
        <v>15</v>
      </c>
      <c r="B13" s="5" t="s">
        <v>16</v>
      </c>
      <c r="C13" s="6" t="s">
        <v>21</v>
      </c>
      <c r="D13" s="4" t="s">
        <v>75</v>
      </c>
      <c r="E13" s="5" t="s">
        <v>56</v>
      </c>
      <c r="F13" s="6" t="s">
        <v>21</v>
      </c>
      <c r="G13" s="5"/>
      <c r="H13" s="17">
        <v>22</v>
      </c>
      <c r="I13" s="5">
        <v>954.8</v>
      </c>
      <c r="J13" s="6">
        <v>997.77300000000002</v>
      </c>
      <c r="L13" s="37"/>
      <c r="M13" s="5"/>
      <c r="N13" s="5"/>
      <c r="O13" s="21"/>
      <c r="P13" s="46" t="s">
        <v>104</v>
      </c>
      <c r="Q13" s="51"/>
      <c r="R13" s="3"/>
    </row>
    <row r="14" spans="1:18" x14ac:dyDescent="0.2">
      <c r="A14" s="4"/>
      <c r="B14" s="5"/>
      <c r="C14" s="6"/>
      <c r="D14" s="4" t="s">
        <v>57</v>
      </c>
      <c r="E14" s="5" t="s">
        <v>58</v>
      </c>
      <c r="F14" s="6" t="s">
        <v>21</v>
      </c>
      <c r="G14" s="5"/>
      <c r="H14" s="17">
        <v>23</v>
      </c>
      <c r="I14" s="5">
        <v>932.5</v>
      </c>
      <c r="J14" s="6">
        <v>997.5412</v>
      </c>
      <c r="L14" s="37"/>
      <c r="M14" s="5"/>
      <c r="N14" s="5"/>
      <c r="O14" s="21"/>
      <c r="P14" s="47" t="s">
        <v>99</v>
      </c>
      <c r="Q14" s="50">
        <f>0.824493-0.0040899*$B$20+0.000076438*$B$20^2</f>
        <v>0.77327020000000002</v>
      </c>
      <c r="R14" s="6"/>
    </row>
    <row r="15" spans="1:18" x14ac:dyDescent="0.2">
      <c r="A15" s="4"/>
      <c r="B15" s="5"/>
      <c r="C15" s="6"/>
      <c r="D15" s="4" t="s">
        <v>88</v>
      </c>
      <c r="E15" s="5" t="s">
        <v>66</v>
      </c>
      <c r="F15" s="6" t="s">
        <v>21</v>
      </c>
      <c r="H15" s="17">
        <v>24</v>
      </c>
      <c r="I15" s="5">
        <v>911.1</v>
      </c>
      <c r="J15" s="6">
        <v>997.29939999999999</v>
      </c>
      <c r="L15" s="37"/>
      <c r="M15" s="5"/>
      <c r="N15" s="5"/>
      <c r="O15" s="21"/>
      <c r="P15" s="47" t="s">
        <v>100</v>
      </c>
      <c r="Q15" s="50">
        <f>-0.00572466+0.00010227*$B$20-0.0000016546*$B$20^2</f>
        <v>-4.3411000000000005E-3</v>
      </c>
      <c r="R15" s="6"/>
    </row>
    <row r="16" spans="1:18" ht="13.5" thickBot="1" x14ac:dyDescent="0.25">
      <c r="A16" s="7"/>
      <c r="B16" s="8"/>
      <c r="C16" s="9"/>
      <c r="D16" s="7" t="s">
        <v>87</v>
      </c>
      <c r="E16" s="8" t="s">
        <v>67</v>
      </c>
      <c r="F16" s="9" t="s">
        <v>21</v>
      </c>
      <c r="H16" s="17">
        <v>25</v>
      </c>
      <c r="I16" s="5">
        <v>890.4</v>
      </c>
      <c r="J16" s="6">
        <v>997.048</v>
      </c>
      <c r="L16" s="37"/>
      <c r="M16" s="5"/>
      <c r="N16" s="5"/>
      <c r="O16" s="21"/>
      <c r="P16" s="47" t="s">
        <v>101</v>
      </c>
      <c r="Q16" s="50">
        <v>4.8314000000000001E-4</v>
      </c>
      <c r="R16" s="6"/>
    </row>
    <row r="17" spans="1:18" ht="16.5" thickBot="1" x14ac:dyDescent="0.35">
      <c r="H17" s="18">
        <v>30</v>
      </c>
      <c r="I17" s="8">
        <v>797.5</v>
      </c>
      <c r="J17" s="9">
        <v>995.65110000000004</v>
      </c>
      <c r="L17" s="37"/>
      <c r="M17" s="5"/>
      <c r="N17" s="5"/>
      <c r="O17" s="21"/>
      <c r="P17" s="47" t="s">
        <v>102</v>
      </c>
      <c r="Q17" s="50">
        <f>999.842594+0.06793952*$B$20-0.00909529*$B$20^2+0.0001001685*$B$20^3-0.000001120083*$B$20^4+0.000000006536332*$B$20^5</f>
        <v>998.2063193823999</v>
      </c>
      <c r="R17" s="6"/>
    </row>
    <row r="18" spans="1:18" ht="13.5" thickBot="1" x14ac:dyDescent="0.25">
      <c r="A18" s="10" t="s">
        <v>29</v>
      </c>
      <c r="B18" s="11" t="s">
        <v>62</v>
      </c>
      <c r="D18" s="11" t="s">
        <v>32</v>
      </c>
      <c r="O18" s="21"/>
      <c r="P18" s="48"/>
      <c r="Q18" s="34"/>
      <c r="R18" s="6"/>
    </row>
    <row r="19" spans="1:18" ht="13.5" thickBot="1" x14ac:dyDescent="0.25">
      <c r="A19" s="10" t="s">
        <v>54</v>
      </c>
      <c r="B19" s="10">
        <v>2</v>
      </c>
      <c r="H19" s="1" t="s">
        <v>79</v>
      </c>
      <c r="I19" s="2"/>
      <c r="J19" s="3"/>
      <c r="P19" s="49" t="s">
        <v>103</v>
      </c>
      <c r="Q19" s="52">
        <f>Q17+Q14*R7+Q15*R7^(3/2)+Q16*R7</f>
        <v>1020.7056040640842</v>
      </c>
      <c r="R19" s="9"/>
    </row>
    <row r="20" spans="1:18" x14ac:dyDescent="0.2">
      <c r="A20" s="10" t="s">
        <v>36</v>
      </c>
      <c r="B20" s="10">
        <v>20</v>
      </c>
      <c r="C20" s="10" t="s">
        <v>37</v>
      </c>
      <c r="H20" s="30">
        <f>IF(B20=15,I6,IF(B20=16,I7,IF(B20=17,I8,IF(B20=18,I9,IF(B20=19,I10,IF(B20=20,I11,IF(B20=21,I12,IF(B20=22,I13))))))))</f>
        <v>1002</v>
      </c>
      <c r="I20" s="5"/>
      <c r="J20" s="6"/>
    </row>
    <row r="21" spans="1:18" ht="13.5" thickBot="1" x14ac:dyDescent="0.25">
      <c r="A21" s="10" t="s">
        <v>50</v>
      </c>
      <c r="B21" s="10">
        <v>1</v>
      </c>
      <c r="C21" s="10"/>
      <c r="H21" s="31" t="b">
        <f>IF(B20=23,I14,IF(B20=24,I15,IF(B20=25,I16,IF(B20=26,M6,IF(B20=27,M7,IF(B20=28,M8,IF(B20=29,M9,IF(B20=30,M10))))))))</f>
        <v>0</v>
      </c>
      <c r="I21" s="8"/>
      <c r="J21" s="9"/>
    </row>
    <row r="22" spans="1:18" x14ac:dyDescent="0.2">
      <c r="A22" s="10" t="s">
        <v>1</v>
      </c>
      <c r="B22" s="29">
        <v>86400</v>
      </c>
      <c r="C22" s="10" t="s">
        <v>2</v>
      </c>
      <c r="D22" s="16">
        <f>B22</f>
        <v>86400</v>
      </c>
      <c r="E22" s="11" t="s">
        <v>2</v>
      </c>
      <c r="H22" s="1" t="s">
        <v>80</v>
      </c>
      <c r="I22" s="2"/>
      <c r="J22" s="3"/>
    </row>
    <row r="23" spans="1:18" x14ac:dyDescent="0.2">
      <c r="A23" s="10" t="s">
        <v>10</v>
      </c>
      <c r="B23" s="10">
        <v>2.65</v>
      </c>
      <c r="C23" s="10" t="s">
        <v>12</v>
      </c>
      <c r="D23" s="11">
        <f>B23*1000</f>
        <v>2650</v>
      </c>
      <c r="E23" s="11" t="s">
        <v>24</v>
      </c>
      <c r="H23" s="30">
        <f>IF(B20=15,J6,IF(B20=16,J7,IF(B20=17,J8,IF(B20=18,J9,IF(B20=19,J10,IF(B20=20,J11,IF(B20=21,J12,IF(B20=22,J13))))))))</f>
        <v>998.20630000000006</v>
      </c>
      <c r="I23" s="5"/>
      <c r="J23" s="6"/>
    </row>
    <row r="24" spans="1:18" ht="13.5" thickBot="1" x14ac:dyDescent="0.25">
      <c r="A24" s="11" t="s">
        <v>3</v>
      </c>
      <c r="B24" s="11">
        <f>IF(B21=2,$R$10/1000,IF(B21=1,IF(B20&lt;23,$H$20/1000000,$H$21/1000000)))</f>
        <v>1.0020000000000001E-3</v>
      </c>
      <c r="C24" s="11" t="s">
        <v>23</v>
      </c>
      <c r="D24" s="11">
        <f>B24</f>
        <v>1.0020000000000001E-3</v>
      </c>
      <c r="E24" s="11" t="s">
        <v>23</v>
      </c>
      <c r="H24" s="31" t="b">
        <f>IF(B20=23,J14,IF(B20=24,J15,IF(B20=25,J16,IF(B20=26,N6,IF(B20=Durchmesser!H2427,N7,IF(B20=28,N8,IF(B20=29,N9,IF(B20=30,N10))))))))</f>
        <v>0</v>
      </c>
      <c r="I24" s="8"/>
      <c r="J24" s="9"/>
    </row>
    <row r="25" spans="1:18" x14ac:dyDescent="0.2">
      <c r="A25" s="11" t="s">
        <v>13</v>
      </c>
      <c r="B25" s="11">
        <f>IF(B21=1,IF(B20&lt;23,H23/1000,H24/1000),Q19/1000)</f>
        <v>0.9982063000000001</v>
      </c>
      <c r="C25" s="11" t="s">
        <v>12</v>
      </c>
      <c r="D25" s="11">
        <f>B25*1000</f>
        <v>998.20630000000006</v>
      </c>
      <c r="E25" s="11" t="s">
        <v>24</v>
      </c>
    </row>
    <row r="26" spans="1:18" x14ac:dyDescent="0.2">
      <c r="A26" s="11" t="str">
        <f>IF(B19=1,"Ks","Kz")</f>
        <v>Kz</v>
      </c>
      <c r="B26" s="11"/>
      <c r="C26" s="11"/>
      <c r="D26" s="11">
        <f>IF(B19=1,18*D24/D42/(D23-D25),18*D24/(D23-D25)/4/PI()^2)</f>
        <v>2.7658249153226644E-7</v>
      </c>
      <c r="E26" s="11" t="str">
        <f>IF(B19=1,"[m*s]","[m²/s]")</f>
        <v>[m²/s]</v>
      </c>
    </row>
    <row r="28" spans="1:18" x14ac:dyDescent="0.2">
      <c r="A28" s="22" t="s">
        <v>59</v>
      </c>
    </row>
    <row r="29" spans="1:18" x14ac:dyDescent="0.2">
      <c r="A29" s="32" t="s">
        <v>83</v>
      </c>
      <c r="B29" s="32"/>
      <c r="C29" s="32"/>
      <c r="D29" s="32"/>
    </row>
    <row r="30" spans="1:18" x14ac:dyDescent="0.2">
      <c r="A30" s="10" t="s">
        <v>17</v>
      </c>
      <c r="B30" s="10">
        <v>1000</v>
      </c>
      <c r="C30" s="10" t="s">
        <v>30</v>
      </c>
      <c r="D30" s="11">
        <f>B30/60</f>
        <v>16.666666666666668</v>
      </c>
      <c r="E30" s="11" t="s">
        <v>25</v>
      </c>
      <c r="F30" s="22"/>
    </row>
    <row r="31" spans="1:18" x14ac:dyDescent="0.2">
      <c r="A31" s="10" t="s">
        <v>57</v>
      </c>
      <c r="B31" s="10">
        <v>3.4</v>
      </c>
      <c r="C31" s="10" t="s">
        <v>7</v>
      </c>
      <c r="D31" s="11">
        <f t="shared" ref="D31:D36" si="0">B31/100</f>
        <v>3.4000000000000002E-2</v>
      </c>
      <c r="E31" s="11" t="s">
        <v>21</v>
      </c>
    </row>
    <row r="32" spans="1:18" x14ac:dyDescent="0.2">
      <c r="A32" s="10" t="s">
        <v>34</v>
      </c>
      <c r="B32" s="10">
        <v>11</v>
      </c>
      <c r="C32" s="10" t="s">
        <v>7</v>
      </c>
      <c r="D32" s="11">
        <f t="shared" si="0"/>
        <v>0.11</v>
      </c>
      <c r="E32" s="11" t="s">
        <v>21</v>
      </c>
    </row>
    <row r="33" spans="1:9" x14ac:dyDescent="0.2">
      <c r="A33" s="32" t="s">
        <v>31</v>
      </c>
      <c r="B33" s="33">
        <v>18.100000000000001</v>
      </c>
      <c r="C33" s="32" t="s">
        <v>7</v>
      </c>
      <c r="D33" s="11">
        <f t="shared" si="0"/>
        <v>0.18100000000000002</v>
      </c>
      <c r="E33" s="11" t="s">
        <v>21</v>
      </c>
    </row>
    <row r="34" spans="1:9" x14ac:dyDescent="0.2">
      <c r="A34" s="32" t="s">
        <v>75</v>
      </c>
      <c r="B34" s="32">
        <v>7.1</v>
      </c>
      <c r="C34" s="32" t="s">
        <v>7</v>
      </c>
      <c r="D34" s="11">
        <f t="shared" si="0"/>
        <v>7.0999999999999994E-2</v>
      </c>
      <c r="E34" s="11" t="s">
        <v>21</v>
      </c>
    </row>
    <row r="35" spans="1:9" x14ac:dyDescent="0.2">
      <c r="A35" s="11" t="s">
        <v>65</v>
      </c>
      <c r="B35" s="12">
        <f>B34+B31</f>
        <v>10.5</v>
      </c>
      <c r="C35" s="11" t="s">
        <v>7</v>
      </c>
      <c r="D35" s="11">
        <f t="shared" si="0"/>
        <v>0.105</v>
      </c>
      <c r="E35" s="11" t="s">
        <v>21</v>
      </c>
    </row>
    <row r="36" spans="1:9" x14ac:dyDescent="0.2">
      <c r="A36" s="11" t="s">
        <v>19</v>
      </c>
      <c r="B36" s="12">
        <f>B34+B32</f>
        <v>18.100000000000001</v>
      </c>
      <c r="C36" s="11" t="s">
        <v>7</v>
      </c>
      <c r="D36" s="11">
        <f t="shared" si="0"/>
        <v>0.18100000000000002</v>
      </c>
      <c r="E36" s="11" t="s">
        <v>21</v>
      </c>
    </row>
    <row r="39" spans="1:9" ht="13.5" thickBot="1" x14ac:dyDescent="0.25">
      <c r="A39" s="22" t="s">
        <v>60</v>
      </c>
    </row>
    <row r="40" spans="1:9" x14ac:dyDescent="0.2">
      <c r="A40" s="10" t="s">
        <v>33</v>
      </c>
      <c r="B40" s="10">
        <v>30</v>
      </c>
      <c r="C40" s="10" t="s">
        <v>7</v>
      </c>
      <c r="D40" s="11">
        <f>B40/100</f>
        <v>0.3</v>
      </c>
      <c r="E40" s="11" t="s">
        <v>21</v>
      </c>
      <c r="F40" s="23" t="s">
        <v>63</v>
      </c>
      <c r="G40" s="2"/>
      <c r="H40" s="2"/>
      <c r="I40" s="3"/>
    </row>
    <row r="41" spans="1:9" ht="13.5" thickBot="1" x14ac:dyDescent="0.25">
      <c r="A41" s="10" t="s">
        <v>61</v>
      </c>
      <c r="B41" s="10">
        <v>0</v>
      </c>
      <c r="C41" s="10" t="s">
        <v>7</v>
      </c>
      <c r="D41" s="11">
        <f>B41/100</f>
        <v>0</v>
      </c>
      <c r="E41" s="11" t="s">
        <v>21</v>
      </c>
      <c r="F41" s="24" t="s">
        <v>64</v>
      </c>
      <c r="G41" s="8"/>
      <c r="H41" s="8"/>
      <c r="I41" s="9"/>
    </row>
    <row r="42" spans="1:9" x14ac:dyDescent="0.2">
      <c r="A42" s="10" t="s">
        <v>8</v>
      </c>
      <c r="B42" s="29">
        <v>9.81</v>
      </c>
      <c r="C42" s="10" t="s">
        <v>22</v>
      </c>
      <c r="D42" s="20">
        <f>B42</f>
        <v>9.81</v>
      </c>
      <c r="E42" s="11" t="s">
        <v>22</v>
      </c>
      <c r="F42" s="21"/>
      <c r="G42" s="5"/>
      <c r="H42" s="5"/>
      <c r="I42" s="5"/>
    </row>
    <row r="43" spans="1:9" x14ac:dyDescent="0.2">
      <c r="A43" s="11" t="s">
        <v>5</v>
      </c>
      <c r="B43" s="20" t="str">
        <f>IF(B19=1,B40-B41,"")</f>
        <v/>
      </c>
      <c r="C43" s="11" t="s">
        <v>7</v>
      </c>
      <c r="D43" s="11" t="e">
        <f>B43/100</f>
        <v>#VALUE!</v>
      </c>
      <c r="E43" s="11" t="s">
        <v>21</v>
      </c>
      <c r="F43" s="21"/>
      <c r="G43" s="5"/>
      <c r="H43" s="5"/>
      <c r="I43" s="5"/>
    </row>
    <row r="45" spans="1:9" x14ac:dyDescent="0.2">
      <c r="A45" s="11" t="s">
        <v>85</v>
      </c>
      <c r="B45" s="11"/>
      <c r="C45" s="11"/>
    </row>
    <row r="46" spans="1:9" x14ac:dyDescent="0.2">
      <c r="A46" s="11"/>
      <c r="B46" s="12"/>
      <c r="C46" s="11"/>
    </row>
    <row r="47" spans="1:9" x14ac:dyDescent="0.2">
      <c r="A47" s="11" t="s">
        <v>84</v>
      </c>
      <c r="B47" s="35">
        <f>IF(B19=1,SQRT(D26*D43/D22),SQRT(D26/D22/D30^2*LN(D36/D35)))</f>
        <v>7.9217346583004769E-8</v>
      </c>
      <c r="C47" s="11" t="s">
        <v>21</v>
      </c>
    </row>
    <row r="48" spans="1:9" x14ac:dyDescent="0.2">
      <c r="A48" s="11" t="s">
        <v>84</v>
      </c>
      <c r="B48" s="36">
        <f>B47*1000000</f>
        <v>7.9217346583004764E-2</v>
      </c>
      <c r="C48" s="11" t="s">
        <v>51</v>
      </c>
    </row>
    <row r="50" spans="1:3" x14ac:dyDescent="0.2">
      <c r="A50" s="21"/>
      <c r="B50" s="22"/>
      <c r="C50" s="21"/>
    </row>
    <row r="51" spans="1:3" x14ac:dyDescent="0.2">
      <c r="C51" s="21"/>
    </row>
    <row r="52" spans="1:3" x14ac:dyDescent="0.2">
      <c r="C52" s="21"/>
    </row>
    <row r="53" spans="1:3" x14ac:dyDescent="0.2">
      <c r="C53" s="21"/>
    </row>
    <row r="54" spans="1:3" x14ac:dyDescent="0.2">
      <c r="C54" s="21"/>
    </row>
  </sheetData>
  <phoneticPr fontId="0" type="noConversion"/>
  <pageMargins left="0.75" right="0.75" top="1" bottom="1" header="0.4921259845" footer="0.492125984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7"/>
  <sheetViews>
    <sheetView topLeftCell="A19" workbookViewId="0">
      <selection activeCell="B61" sqref="B61:C64"/>
    </sheetView>
  </sheetViews>
  <sheetFormatPr defaultRowHeight="12.75" x14ac:dyDescent="0.2"/>
  <sheetData>
    <row r="2" spans="2:3" ht="38.25" x14ac:dyDescent="0.2">
      <c r="B2" s="54" t="s">
        <v>106</v>
      </c>
      <c r="C2" s="54" t="s">
        <v>107</v>
      </c>
    </row>
    <row r="3" spans="2:3" x14ac:dyDescent="0.2">
      <c r="B3" s="55">
        <v>1.08</v>
      </c>
      <c r="C3" s="55">
        <v>0.99</v>
      </c>
    </row>
    <row r="4" spans="2:3" x14ac:dyDescent="0.2">
      <c r="B4" s="55">
        <v>1.1499999999999999</v>
      </c>
      <c r="C4" s="55">
        <v>1.05</v>
      </c>
    </row>
    <row r="5" spans="2:3" x14ac:dyDescent="0.2">
      <c r="B5" s="55">
        <v>1.23</v>
      </c>
      <c r="C5" s="55">
        <v>1.1299999999999999</v>
      </c>
    </row>
    <row r="6" spans="2:3" x14ac:dyDescent="0.2">
      <c r="B6" s="55">
        <v>1.32</v>
      </c>
      <c r="C6" s="55">
        <v>1.19</v>
      </c>
    </row>
    <row r="7" spans="2:3" x14ac:dyDescent="0.2">
      <c r="B7" s="55">
        <v>1.4</v>
      </c>
      <c r="C7" s="55">
        <v>1.29</v>
      </c>
    </row>
    <row r="8" spans="2:3" x14ac:dyDescent="0.2">
      <c r="B8" s="55">
        <v>1.56</v>
      </c>
      <c r="C8" s="55">
        <v>1.51</v>
      </c>
    </row>
    <row r="9" spans="2:3" x14ac:dyDescent="0.2">
      <c r="B9" s="55">
        <v>1.73</v>
      </c>
      <c r="C9" s="55">
        <v>1.83</v>
      </c>
    </row>
    <row r="10" spans="2:3" x14ac:dyDescent="0.2">
      <c r="B10" s="55">
        <v>1.88</v>
      </c>
      <c r="C10" s="55">
        <v>2.27</v>
      </c>
    </row>
    <row r="11" spans="2:3" x14ac:dyDescent="0.2">
      <c r="B11" s="55">
        <v>2.04</v>
      </c>
      <c r="C11" s="55">
        <v>2.9</v>
      </c>
    </row>
    <row r="12" spans="2:3" x14ac:dyDescent="0.2">
      <c r="B12" s="55">
        <v>2.19</v>
      </c>
      <c r="C12" s="55">
        <v>3.93</v>
      </c>
    </row>
    <row r="13" spans="2:3" x14ac:dyDescent="0.2">
      <c r="B13" s="55">
        <v>2.35</v>
      </c>
      <c r="C13" s="55">
        <v>5.15</v>
      </c>
    </row>
    <row r="14" spans="2:3" x14ac:dyDescent="0.2">
      <c r="B14" s="55">
        <v>2.5</v>
      </c>
      <c r="C14" s="55">
        <v>8.19</v>
      </c>
    </row>
    <row r="15" spans="2:3" x14ac:dyDescent="0.2">
      <c r="B15" s="55">
        <v>2.67</v>
      </c>
      <c r="C15" s="55">
        <v>12.18</v>
      </c>
    </row>
    <row r="16" spans="2:3" x14ac:dyDescent="0.2">
      <c r="B16" s="55">
        <v>2.82</v>
      </c>
      <c r="C16" s="55">
        <v>20.55</v>
      </c>
    </row>
    <row r="17" spans="2:3" x14ac:dyDescent="0.2">
      <c r="B17" s="55">
        <v>2.98</v>
      </c>
      <c r="C17" s="55">
        <v>36.65</v>
      </c>
    </row>
    <row r="18" spans="2:3" x14ac:dyDescent="0.2">
      <c r="B18" s="55">
        <v>3.1</v>
      </c>
      <c r="C18" s="55">
        <v>59.52</v>
      </c>
    </row>
    <row r="34" spans="1:6" x14ac:dyDescent="0.2">
      <c r="B34" s="42" t="s">
        <v>108</v>
      </c>
      <c r="E34" s="55">
        <v>2.67</v>
      </c>
      <c r="F34" s="55">
        <v>12.18</v>
      </c>
    </row>
    <row r="35" spans="1:6" ht="25.5" x14ac:dyDescent="0.2">
      <c r="B35" s="54" t="s">
        <v>109</v>
      </c>
      <c r="C35" s="54" t="s">
        <v>110</v>
      </c>
      <c r="E35" s="55">
        <v>2.82</v>
      </c>
      <c r="F35" s="55">
        <v>20.55</v>
      </c>
    </row>
    <row r="36" spans="1:6" x14ac:dyDescent="0.2">
      <c r="A36">
        <v>1</v>
      </c>
      <c r="B36">
        <v>2.67</v>
      </c>
      <c r="C36" s="55">
        <f>F34</f>
        <v>12.18</v>
      </c>
      <c r="E36" s="55">
        <v>2.98</v>
      </c>
      <c r="F36" s="55">
        <v>36.65</v>
      </c>
    </row>
    <row r="37" spans="1:6" x14ac:dyDescent="0.2">
      <c r="A37">
        <v>2</v>
      </c>
      <c r="B37">
        <v>2.68</v>
      </c>
      <c r="C37" s="45">
        <f>$C$36+($F$35-$F$34)/($A$51-$A$36)*(A37-$A$36)</f>
        <v>12.738</v>
      </c>
    </row>
    <row r="38" spans="1:6" x14ac:dyDescent="0.2">
      <c r="A38">
        <v>3</v>
      </c>
      <c r="B38">
        <v>2.69</v>
      </c>
      <c r="C38" s="45">
        <f t="shared" ref="C38:C51" si="0">$C$36+($F$35-$F$34)/($A$51-$A$36)*(A38-$A$36)</f>
        <v>13.295999999999999</v>
      </c>
    </row>
    <row r="39" spans="1:6" x14ac:dyDescent="0.2">
      <c r="A39">
        <v>4</v>
      </c>
      <c r="B39">
        <v>2.7</v>
      </c>
      <c r="C39" s="45">
        <f t="shared" si="0"/>
        <v>13.853999999999999</v>
      </c>
    </row>
    <row r="40" spans="1:6" x14ac:dyDescent="0.2">
      <c r="A40">
        <v>5</v>
      </c>
      <c r="B40">
        <v>2.71</v>
      </c>
      <c r="C40" s="45">
        <f t="shared" si="0"/>
        <v>14.411999999999999</v>
      </c>
    </row>
    <row r="41" spans="1:6" x14ac:dyDescent="0.2">
      <c r="A41">
        <v>6</v>
      </c>
      <c r="B41">
        <v>2.72</v>
      </c>
      <c r="C41" s="45">
        <f t="shared" si="0"/>
        <v>14.969999999999999</v>
      </c>
    </row>
    <row r="42" spans="1:6" x14ac:dyDescent="0.2">
      <c r="A42">
        <v>7</v>
      </c>
      <c r="B42">
        <v>2.73</v>
      </c>
      <c r="C42" s="45">
        <f t="shared" si="0"/>
        <v>15.528</v>
      </c>
    </row>
    <row r="43" spans="1:6" x14ac:dyDescent="0.2">
      <c r="A43">
        <v>8</v>
      </c>
      <c r="B43">
        <v>2.74</v>
      </c>
      <c r="C43" s="45">
        <f t="shared" si="0"/>
        <v>16.085999999999999</v>
      </c>
    </row>
    <row r="44" spans="1:6" x14ac:dyDescent="0.2">
      <c r="A44">
        <v>9</v>
      </c>
      <c r="B44">
        <v>2.75</v>
      </c>
      <c r="C44" s="45">
        <f t="shared" si="0"/>
        <v>16.643999999999998</v>
      </c>
    </row>
    <row r="45" spans="1:6" x14ac:dyDescent="0.2">
      <c r="A45">
        <v>10</v>
      </c>
      <c r="B45">
        <v>2.76</v>
      </c>
      <c r="C45" s="45">
        <f t="shared" si="0"/>
        <v>17.201999999999998</v>
      </c>
    </row>
    <row r="46" spans="1:6" x14ac:dyDescent="0.2">
      <c r="A46">
        <v>11</v>
      </c>
      <c r="B46">
        <v>2.77</v>
      </c>
      <c r="C46" s="45">
        <f t="shared" si="0"/>
        <v>17.759999999999998</v>
      </c>
    </row>
    <row r="47" spans="1:6" x14ac:dyDescent="0.2">
      <c r="A47">
        <v>12</v>
      </c>
      <c r="B47">
        <v>2.78</v>
      </c>
      <c r="C47" s="45">
        <f t="shared" si="0"/>
        <v>18.318000000000001</v>
      </c>
    </row>
    <row r="48" spans="1:6" x14ac:dyDescent="0.2">
      <c r="A48">
        <v>13</v>
      </c>
      <c r="B48">
        <v>2.79</v>
      </c>
      <c r="C48" s="45">
        <f t="shared" si="0"/>
        <v>18.876000000000001</v>
      </c>
    </row>
    <row r="49" spans="1:3" x14ac:dyDescent="0.2">
      <c r="A49">
        <v>14</v>
      </c>
      <c r="B49">
        <v>2.8</v>
      </c>
      <c r="C49" s="45">
        <f t="shared" si="0"/>
        <v>19.434000000000001</v>
      </c>
    </row>
    <row r="50" spans="1:3" x14ac:dyDescent="0.2">
      <c r="A50">
        <v>15</v>
      </c>
      <c r="B50">
        <v>2.81</v>
      </c>
      <c r="C50" s="45">
        <f t="shared" si="0"/>
        <v>19.992000000000001</v>
      </c>
    </row>
    <row r="51" spans="1:3" x14ac:dyDescent="0.2">
      <c r="A51">
        <v>16</v>
      </c>
      <c r="B51">
        <v>2.82</v>
      </c>
      <c r="C51" s="45">
        <f t="shared" si="0"/>
        <v>20.55</v>
      </c>
    </row>
    <row r="52" spans="1:3" x14ac:dyDescent="0.2">
      <c r="A52">
        <v>17</v>
      </c>
      <c r="B52">
        <v>2.83</v>
      </c>
      <c r="C52" s="45">
        <f>$C$51+($F$36-$F$35)/($A$67-$A$51)*(A52-$A$51)</f>
        <v>21.556250000000002</v>
      </c>
    </row>
    <row r="53" spans="1:3" x14ac:dyDescent="0.2">
      <c r="A53">
        <v>18</v>
      </c>
      <c r="B53">
        <v>2.84</v>
      </c>
      <c r="C53" s="45">
        <f t="shared" ref="C53:C67" si="1">$C$51+($F$36-$F$35)/($A$67-$A$51)*(A53-$A$51)</f>
        <v>22.5625</v>
      </c>
    </row>
    <row r="54" spans="1:3" x14ac:dyDescent="0.2">
      <c r="A54">
        <v>19</v>
      </c>
      <c r="B54">
        <v>2.85</v>
      </c>
      <c r="C54" s="45">
        <f t="shared" si="1"/>
        <v>23.568750000000001</v>
      </c>
    </row>
    <row r="55" spans="1:3" x14ac:dyDescent="0.2">
      <c r="A55">
        <v>20</v>
      </c>
      <c r="B55">
        <v>2.86</v>
      </c>
      <c r="C55" s="45">
        <f t="shared" si="1"/>
        <v>24.574999999999999</v>
      </c>
    </row>
    <row r="56" spans="1:3" x14ac:dyDescent="0.2">
      <c r="A56">
        <v>21</v>
      </c>
      <c r="B56">
        <v>2.87</v>
      </c>
      <c r="C56" s="45">
        <f t="shared" si="1"/>
        <v>25.581250000000001</v>
      </c>
    </row>
    <row r="57" spans="1:3" x14ac:dyDescent="0.2">
      <c r="A57">
        <v>22</v>
      </c>
      <c r="B57">
        <v>2.88</v>
      </c>
      <c r="C57" s="45">
        <f t="shared" si="1"/>
        <v>26.587499999999999</v>
      </c>
    </row>
    <row r="58" spans="1:3" x14ac:dyDescent="0.2">
      <c r="A58">
        <v>23</v>
      </c>
      <c r="B58">
        <v>2.8900000000000099</v>
      </c>
      <c r="C58" s="45">
        <f t="shared" si="1"/>
        <v>27.59375</v>
      </c>
    </row>
    <row r="59" spans="1:3" x14ac:dyDescent="0.2">
      <c r="A59">
        <v>24</v>
      </c>
      <c r="B59">
        <v>2.9</v>
      </c>
      <c r="C59" s="45">
        <f t="shared" si="1"/>
        <v>28.6</v>
      </c>
    </row>
    <row r="60" spans="1:3" x14ac:dyDescent="0.2">
      <c r="A60">
        <v>25</v>
      </c>
      <c r="B60">
        <v>2.9100000000000099</v>
      </c>
      <c r="C60" s="45">
        <f t="shared" si="1"/>
        <v>29.606249999999999</v>
      </c>
    </row>
    <row r="61" spans="1:3" x14ac:dyDescent="0.2">
      <c r="A61">
        <v>26</v>
      </c>
      <c r="B61">
        <v>2.9200000000000101</v>
      </c>
      <c r="C61" s="45">
        <f t="shared" si="1"/>
        <v>30.612499999999997</v>
      </c>
    </row>
    <row r="62" spans="1:3" x14ac:dyDescent="0.2">
      <c r="A62">
        <v>27</v>
      </c>
      <c r="B62">
        <v>2.9300000000000099</v>
      </c>
      <c r="C62" s="45">
        <f t="shared" si="1"/>
        <v>31.618749999999999</v>
      </c>
    </row>
    <row r="63" spans="1:3" x14ac:dyDescent="0.2">
      <c r="A63">
        <v>28</v>
      </c>
      <c r="B63">
        <v>2.9400000000000102</v>
      </c>
      <c r="C63" s="45">
        <f t="shared" si="1"/>
        <v>32.625</v>
      </c>
    </row>
    <row r="64" spans="1:3" x14ac:dyDescent="0.2">
      <c r="A64">
        <v>29</v>
      </c>
      <c r="B64">
        <v>2.9500000000000099</v>
      </c>
      <c r="C64" s="45">
        <f t="shared" si="1"/>
        <v>33.631250000000001</v>
      </c>
    </row>
    <row r="65" spans="1:3" x14ac:dyDescent="0.2">
      <c r="A65">
        <v>30</v>
      </c>
      <c r="B65">
        <v>2.9600000000000102</v>
      </c>
      <c r="C65" s="45">
        <f t="shared" si="1"/>
        <v>34.637500000000003</v>
      </c>
    </row>
    <row r="66" spans="1:3" x14ac:dyDescent="0.2">
      <c r="A66">
        <v>31</v>
      </c>
      <c r="B66">
        <v>2.97000000000001</v>
      </c>
      <c r="C66" s="45">
        <f t="shared" si="1"/>
        <v>35.643749999999997</v>
      </c>
    </row>
    <row r="67" spans="1:3" x14ac:dyDescent="0.2">
      <c r="A67">
        <v>32</v>
      </c>
      <c r="B67">
        <v>2.9800000000000102</v>
      </c>
      <c r="C67" s="45">
        <f t="shared" si="1"/>
        <v>36.65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4" workbookViewId="0">
      <selection activeCell="A55" sqref="A55"/>
    </sheetView>
  </sheetViews>
  <sheetFormatPr defaultColWidth="11.42578125" defaultRowHeight="12.75" x14ac:dyDescent="0.2"/>
  <cols>
    <col min="1" max="1" width="13.7109375" customWidth="1"/>
    <col min="2" max="2" width="19.5703125" customWidth="1"/>
    <col min="3" max="3" width="11.42578125" customWidth="1"/>
    <col min="4" max="4" width="24.5703125" customWidth="1"/>
    <col min="5" max="5" width="36.7109375" customWidth="1"/>
    <col min="6" max="7" width="11.42578125" customWidth="1"/>
    <col min="8" max="8" width="11.5703125" customWidth="1"/>
    <col min="9" max="11" width="11.42578125" customWidth="1"/>
    <col min="12" max="12" width="23.85546875" customWidth="1"/>
    <col min="13" max="14" width="11.42578125" customWidth="1"/>
    <col min="15" max="15" width="23.7109375" customWidth="1"/>
  </cols>
  <sheetData>
    <row r="1" spans="1:15" x14ac:dyDescent="0.2">
      <c r="A1" s="19" t="s">
        <v>53</v>
      </c>
      <c r="F1" s="42" t="s">
        <v>118</v>
      </c>
    </row>
    <row r="2" spans="1:15" ht="13.5" thickBot="1" x14ac:dyDescent="0.25"/>
    <row r="3" spans="1:15" x14ac:dyDescent="0.2">
      <c r="A3" s="1" t="s">
        <v>26</v>
      </c>
      <c r="B3" s="2"/>
      <c r="C3" s="3"/>
      <c r="D3" s="1" t="s">
        <v>68</v>
      </c>
      <c r="E3" s="2"/>
      <c r="F3" s="3"/>
      <c r="G3" s="5"/>
      <c r="H3" s="1" t="s">
        <v>115</v>
      </c>
      <c r="I3" s="2"/>
      <c r="J3" s="3"/>
      <c r="L3" s="1" t="s">
        <v>115</v>
      </c>
      <c r="M3" s="2"/>
      <c r="N3" s="3"/>
      <c r="O3" s="21"/>
    </row>
    <row r="4" spans="1:15" x14ac:dyDescent="0.2">
      <c r="A4" s="4"/>
      <c r="B4" s="5"/>
      <c r="C4" s="6"/>
      <c r="D4" s="4"/>
      <c r="E4" s="5"/>
      <c r="F4" s="6"/>
      <c r="G4" s="5"/>
      <c r="H4" s="4"/>
      <c r="I4" s="5"/>
      <c r="J4" s="6"/>
      <c r="L4" s="4"/>
      <c r="M4" s="5"/>
      <c r="N4" s="6"/>
      <c r="O4" s="21"/>
    </row>
    <row r="5" spans="1:15" x14ac:dyDescent="0.2">
      <c r="A5" s="4" t="s">
        <v>0</v>
      </c>
      <c r="B5" s="5"/>
      <c r="C5" s="6"/>
      <c r="D5" s="4" t="s">
        <v>70</v>
      </c>
      <c r="E5" s="5"/>
      <c r="F5" s="6"/>
      <c r="G5" s="5"/>
      <c r="H5" s="48" t="s">
        <v>12</v>
      </c>
      <c r="I5" s="5" t="s">
        <v>114</v>
      </c>
      <c r="J5" s="6"/>
      <c r="L5" s="4" t="s">
        <v>27</v>
      </c>
      <c r="M5" s="5" t="s">
        <v>114</v>
      </c>
      <c r="N5" s="6" t="s">
        <v>28</v>
      </c>
      <c r="O5" s="21"/>
    </row>
    <row r="6" spans="1:15" x14ac:dyDescent="0.2">
      <c r="A6" s="21" t="s">
        <v>72</v>
      </c>
      <c r="C6" t="s">
        <v>73</v>
      </c>
      <c r="D6" s="4" t="s">
        <v>71</v>
      </c>
      <c r="E6" s="5"/>
      <c r="F6" s="6" t="s">
        <v>69</v>
      </c>
      <c r="G6" s="5"/>
      <c r="H6" s="17">
        <v>2.8</v>
      </c>
      <c r="I6" s="5">
        <v>19.434000000000001</v>
      </c>
      <c r="J6" s="6"/>
      <c r="L6" s="17">
        <v>2.9100000000000099</v>
      </c>
      <c r="M6" s="5">
        <v>29.606249999999999</v>
      </c>
      <c r="N6" s="6">
        <v>995.65110000000004</v>
      </c>
      <c r="O6" s="21"/>
    </row>
    <row r="7" spans="1:15" x14ac:dyDescent="0.2">
      <c r="A7" s="4" t="s">
        <v>1</v>
      </c>
      <c r="B7" s="5" t="s">
        <v>52</v>
      </c>
      <c r="C7" s="6" t="s">
        <v>2</v>
      </c>
      <c r="D7" s="4" t="s">
        <v>17</v>
      </c>
      <c r="E7" s="5" t="s">
        <v>18</v>
      </c>
      <c r="F7" s="6" t="s">
        <v>25</v>
      </c>
      <c r="G7" s="5"/>
      <c r="H7" s="17">
        <v>2.81</v>
      </c>
      <c r="I7" s="5">
        <v>19.992000000000001</v>
      </c>
      <c r="J7" s="6"/>
      <c r="L7" s="17">
        <v>2.9200000000000101</v>
      </c>
      <c r="M7" s="5">
        <v>30.612499999999997</v>
      </c>
      <c r="N7" s="6">
        <v>996.49</v>
      </c>
      <c r="O7" s="21"/>
    </row>
    <row r="8" spans="1:15" x14ac:dyDescent="0.2">
      <c r="A8" s="4" t="s">
        <v>3</v>
      </c>
      <c r="B8" s="5" t="s">
        <v>4</v>
      </c>
      <c r="C8" s="6" t="s">
        <v>74</v>
      </c>
      <c r="D8" s="4" t="s">
        <v>19</v>
      </c>
      <c r="E8" s="5" t="s">
        <v>20</v>
      </c>
      <c r="F8" s="6" t="s">
        <v>21</v>
      </c>
      <c r="G8" s="5"/>
      <c r="H8" s="17">
        <v>2.82</v>
      </c>
      <c r="I8" s="5">
        <v>20.55</v>
      </c>
      <c r="J8" s="6"/>
      <c r="L8" s="17">
        <v>2.9300000000000099</v>
      </c>
      <c r="M8" s="5">
        <v>31.618749999999999</v>
      </c>
      <c r="N8" s="6">
        <v>996.19</v>
      </c>
      <c r="O8" s="21"/>
    </row>
    <row r="9" spans="1:15" x14ac:dyDescent="0.2">
      <c r="A9" s="4" t="s">
        <v>5</v>
      </c>
      <c r="B9" s="5" t="s">
        <v>6</v>
      </c>
      <c r="C9" s="6" t="s">
        <v>21</v>
      </c>
      <c r="D9" s="4"/>
      <c r="E9" s="5"/>
      <c r="F9" s="6"/>
      <c r="G9" s="5"/>
      <c r="H9" s="17">
        <v>2.83</v>
      </c>
      <c r="I9" s="5">
        <v>21.556250000000002</v>
      </c>
      <c r="J9" s="6"/>
      <c r="L9" s="17">
        <v>2.9400000000000102</v>
      </c>
      <c r="M9" s="5">
        <v>32.625</v>
      </c>
      <c r="N9" s="6">
        <v>995.93</v>
      </c>
      <c r="O9" s="21"/>
    </row>
    <row r="10" spans="1:15" ht="13.5" thickBot="1" x14ac:dyDescent="0.25">
      <c r="A10" s="4" t="s">
        <v>8</v>
      </c>
      <c r="B10" s="5" t="s">
        <v>9</v>
      </c>
      <c r="C10" s="6" t="s">
        <v>22</v>
      </c>
      <c r="D10" s="4" t="s">
        <v>31</v>
      </c>
      <c r="E10" s="5" t="s">
        <v>55</v>
      </c>
      <c r="F10" s="6" t="s">
        <v>21</v>
      </c>
      <c r="G10" s="5"/>
      <c r="H10" s="17">
        <v>2.84</v>
      </c>
      <c r="I10" s="5">
        <v>22.5625</v>
      </c>
      <c r="J10" s="6"/>
      <c r="L10" s="18">
        <v>2.9500000000000099</v>
      </c>
      <c r="M10" s="8">
        <v>33.631250000000001</v>
      </c>
      <c r="N10" s="9">
        <v>995.65110000000004</v>
      </c>
      <c r="O10" s="21"/>
    </row>
    <row r="11" spans="1:15" x14ac:dyDescent="0.2">
      <c r="A11" s="4" t="s">
        <v>10</v>
      </c>
      <c r="B11" s="5" t="s">
        <v>11</v>
      </c>
      <c r="C11" s="6" t="s">
        <v>24</v>
      </c>
      <c r="D11" s="38" t="s">
        <v>89</v>
      </c>
      <c r="E11" s="5" t="s">
        <v>98</v>
      </c>
      <c r="F11" s="6" t="s">
        <v>21</v>
      </c>
      <c r="G11" s="5"/>
      <c r="H11" s="17">
        <v>2.85</v>
      </c>
      <c r="I11" s="5">
        <v>23.568750000000001</v>
      </c>
      <c r="J11" s="6"/>
      <c r="L11" s="37"/>
      <c r="M11" s="5"/>
      <c r="N11" s="5"/>
      <c r="O11" s="21"/>
    </row>
    <row r="12" spans="1:15" x14ac:dyDescent="0.2">
      <c r="A12" s="4" t="s">
        <v>13</v>
      </c>
      <c r="B12" s="5" t="s">
        <v>14</v>
      </c>
      <c r="C12" s="6" t="s">
        <v>24</v>
      </c>
      <c r="D12" s="4" t="s">
        <v>34</v>
      </c>
      <c r="E12" s="39" t="s">
        <v>97</v>
      </c>
      <c r="F12" s="6" t="s">
        <v>21</v>
      </c>
      <c r="G12" s="5"/>
      <c r="H12" s="17">
        <v>2.86</v>
      </c>
      <c r="I12" s="5">
        <v>24.574999999999999</v>
      </c>
      <c r="J12" s="6"/>
      <c r="L12" s="37"/>
      <c r="M12" s="5"/>
      <c r="N12" s="5"/>
      <c r="O12" s="21"/>
    </row>
    <row r="13" spans="1:15" x14ac:dyDescent="0.2">
      <c r="A13" s="4" t="s">
        <v>15</v>
      </c>
      <c r="B13" s="5" t="s">
        <v>16</v>
      </c>
      <c r="C13" s="6" t="s">
        <v>21</v>
      </c>
      <c r="D13" s="4" t="s">
        <v>57</v>
      </c>
      <c r="E13" s="5" t="s">
        <v>58</v>
      </c>
      <c r="F13" s="6" t="s">
        <v>21</v>
      </c>
      <c r="G13" s="5"/>
      <c r="H13" s="17">
        <v>2.87</v>
      </c>
      <c r="I13" s="5">
        <v>25.581250000000001</v>
      </c>
      <c r="J13" s="6"/>
      <c r="L13" s="37"/>
      <c r="M13" s="5"/>
      <c r="N13" s="5"/>
      <c r="O13" s="21"/>
    </row>
    <row r="14" spans="1:15" x14ac:dyDescent="0.2">
      <c r="A14" s="4"/>
      <c r="B14" s="5"/>
      <c r="C14" s="6"/>
      <c r="D14" s="4"/>
      <c r="E14" s="5"/>
      <c r="F14" s="6"/>
      <c r="G14" s="5"/>
      <c r="H14" s="17">
        <v>2.88</v>
      </c>
      <c r="I14" s="5">
        <v>26.587499999999999</v>
      </c>
      <c r="J14" s="6"/>
      <c r="L14" s="37"/>
      <c r="M14" s="5"/>
      <c r="N14" s="5"/>
      <c r="O14" s="21"/>
    </row>
    <row r="15" spans="1:15" x14ac:dyDescent="0.2">
      <c r="A15" s="4"/>
      <c r="B15" s="5"/>
      <c r="C15" s="6"/>
      <c r="D15" s="38" t="s">
        <v>90</v>
      </c>
      <c r="E15" s="5" t="s">
        <v>66</v>
      </c>
      <c r="F15" s="6" t="s">
        <v>21</v>
      </c>
      <c r="H15" s="17">
        <v>2.8900000000000099</v>
      </c>
      <c r="I15" s="5">
        <v>27.59375</v>
      </c>
      <c r="J15" s="6"/>
      <c r="L15" s="37"/>
      <c r="M15" s="5"/>
      <c r="N15" s="5"/>
      <c r="O15" s="21"/>
    </row>
    <row r="16" spans="1:15" ht="13.5" thickBot="1" x14ac:dyDescent="0.25">
      <c r="A16" s="7"/>
      <c r="B16" s="8"/>
      <c r="C16" s="9"/>
      <c r="D16" s="40" t="s">
        <v>91</v>
      </c>
      <c r="E16" s="8" t="s">
        <v>67</v>
      </c>
      <c r="F16" s="9" t="s">
        <v>21</v>
      </c>
      <c r="H16" s="17">
        <v>2.9</v>
      </c>
      <c r="I16" s="5">
        <v>28.6</v>
      </c>
      <c r="J16" s="6"/>
      <c r="L16" s="37"/>
      <c r="M16" s="5"/>
      <c r="N16" s="5"/>
      <c r="O16" s="21"/>
    </row>
    <row r="17" spans="1:15" ht="13.5" thickBot="1" x14ac:dyDescent="0.25">
      <c r="H17" s="18"/>
      <c r="I17" s="8"/>
      <c r="J17" s="9"/>
      <c r="L17" s="37"/>
      <c r="M17" s="5"/>
      <c r="N17" s="5"/>
      <c r="O17" s="21"/>
    </row>
    <row r="18" spans="1:15" ht="13.5" thickBot="1" x14ac:dyDescent="0.25">
      <c r="A18" s="10" t="s">
        <v>29</v>
      </c>
      <c r="B18" s="11" t="s">
        <v>62</v>
      </c>
      <c r="D18" s="11" t="s">
        <v>32</v>
      </c>
      <c r="O18" s="21"/>
    </row>
    <row r="19" spans="1:15" x14ac:dyDescent="0.2">
      <c r="A19" s="10" t="s">
        <v>54</v>
      </c>
      <c r="B19" s="10">
        <v>2</v>
      </c>
      <c r="H19" s="1" t="s">
        <v>116</v>
      </c>
      <c r="I19" s="2"/>
      <c r="J19" s="3"/>
    </row>
    <row r="20" spans="1:15" x14ac:dyDescent="0.2">
      <c r="A20" s="10" t="s">
        <v>117</v>
      </c>
      <c r="B20" s="56">
        <v>2.9</v>
      </c>
      <c r="C20" s="10" t="s">
        <v>12</v>
      </c>
      <c r="H20" s="30" t="b">
        <f>IF(B20=2.8,I6,IF(B20=2.1,I7,IF(B20=2.82,I8,IF(B20=2.83,I9,IF(B20=2.84,I10,IF(B20=2.85,I11,IF(B20=2.86,I12,IF(B20=2.87,I13))))))))</f>
        <v>0</v>
      </c>
      <c r="I20" s="5"/>
      <c r="J20" s="6"/>
    </row>
    <row r="21" spans="1:15" ht="13.5" thickBot="1" x14ac:dyDescent="0.25">
      <c r="A21" s="10" t="s">
        <v>50</v>
      </c>
      <c r="B21" s="10">
        <v>1</v>
      </c>
      <c r="C21" s="10"/>
      <c r="H21" s="31">
        <f>IF(B20=2.88,I14,IF(B20=2.89,I15,IF(B20=2.9,I16,IF(B20=2.91,M6,IF(B20=2.92,M7,IF(B20=2.93,M8,IF(B20=29.4,M9,IF(B20=2.95,M10))))))))</f>
        <v>28.6</v>
      </c>
      <c r="I21" s="8"/>
      <c r="J21" s="9"/>
    </row>
    <row r="22" spans="1:15" x14ac:dyDescent="0.2">
      <c r="A22" s="10" t="s">
        <v>15</v>
      </c>
      <c r="B22" s="29">
        <v>125</v>
      </c>
      <c r="C22" s="10" t="s">
        <v>51</v>
      </c>
      <c r="D22" s="16">
        <f>B22/1000000</f>
        <v>1.25E-4</v>
      </c>
      <c r="E22" s="11" t="s">
        <v>21</v>
      </c>
      <c r="H22" s="1"/>
      <c r="I22" s="2"/>
      <c r="J22" s="3"/>
    </row>
    <row r="23" spans="1:15" x14ac:dyDescent="0.2">
      <c r="A23" s="10" t="s">
        <v>10</v>
      </c>
      <c r="B23" s="10">
        <v>3</v>
      </c>
      <c r="C23" s="10" t="s">
        <v>12</v>
      </c>
      <c r="D23" s="11">
        <f>B23*1000</f>
        <v>3000</v>
      </c>
      <c r="E23" s="11" t="s">
        <v>24</v>
      </c>
      <c r="H23" s="47"/>
      <c r="I23" s="5"/>
      <c r="J23" s="6"/>
    </row>
    <row r="24" spans="1:15" ht="13.5" thickBot="1" x14ac:dyDescent="0.25">
      <c r="A24" s="11" t="s">
        <v>3</v>
      </c>
      <c r="B24" s="11">
        <f>IF(B20&lt;2.89,$H$20/1000,$H$21/1000)</f>
        <v>2.86E-2</v>
      </c>
      <c r="C24" s="11" t="s">
        <v>23</v>
      </c>
      <c r="D24" s="11">
        <f>B24</f>
        <v>2.86E-2</v>
      </c>
      <c r="E24" s="11" t="s">
        <v>23</v>
      </c>
      <c r="H24" s="49"/>
      <c r="I24" s="8"/>
      <c r="J24" s="9"/>
    </row>
    <row r="25" spans="1:15" x14ac:dyDescent="0.2">
      <c r="A25" s="11" t="s">
        <v>13</v>
      </c>
      <c r="B25" s="11">
        <f>B20</f>
        <v>2.9</v>
      </c>
      <c r="C25" s="11" t="s">
        <v>12</v>
      </c>
      <c r="D25" s="11">
        <f>B25*1000</f>
        <v>2900</v>
      </c>
      <c r="E25" s="11" t="s">
        <v>24</v>
      </c>
    </row>
    <row r="26" spans="1:15" x14ac:dyDescent="0.2">
      <c r="A26" s="11" t="str">
        <f>IF(B19=1,"Ks","Kz")</f>
        <v>Kz</v>
      </c>
      <c r="B26" s="11"/>
      <c r="C26" s="11"/>
      <c r="D26" s="11">
        <f>IF(B19=1,18*D24/D42/(D23-D25),18*D24/(D23-D25)/4/PI()^2)</f>
        <v>1.3040036334768874E-4</v>
      </c>
      <c r="E26" s="11" t="str">
        <f>IF(B19=1,"[m*s]","[m²/s]")</f>
        <v>[m²/s]</v>
      </c>
    </row>
    <row r="28" spans="1:15" x14ac:dyDescent="0.2">
      <c r="A28" s="22" t="s">
        <v>59</v>
      </c>
    </row>
    <row r="29" spans="1:15" x14ac:dyDescent="0.2">
      <c r="A29" s="41" t="s">
        <v>113</v>
      </c>
      <c r="B29" s="32"/>
      <c r="C29" s="32"/>
      <c r="D29" s="32"/>
    </row>
    <row r="30" spans="1:15" x14ac:dyDescent="0.2">
      <c r="A30" s="10" t="s">
        <v>17</v>
      </c>
      <c r="B30" s="10">
        <v>1000</v>
      </c>
      <c r="C30" s="10" t="s">
        <v>30</v>
      </c>
      <c r="D30" s="11">
        <f>B30/60</f>
        <v>16.666666666666668</v>
      </c>
      <c r="E30" s="11" t="s">
        <v>25</v>
      </c>
      <c r="F30" s="22"/>
    </row>
    <row r="31" spans="1:15" x14ac:dyDescent="0.2">
      <c r="A31" s="10" t="s">
        <v>57</v>
      </c>
      <c r="B31" s="10">
        <v>0</v>
      </c>
      <c r="C31" s="10" t="s">
        <v>7</v>
      </c>
      <c r="D31" s="11">
        <f t="shared" ref="D31:D36" si="0">B31/100</f>
        <v>0</v>
      </c>
      <c r="E31" s="11" t="s">
        <v>21</v>
      </c>
    </row>
    <row r="32" spans="1:15" x14ac:dyDescent="0.2">
      <c r="A32" s="10" t="s">
        <v>34</v>
      </c>
      <c r="B32" s="10">
        <v>8.4</v>
      </c>
      <c r="C32" s="10" t="s">
        <v>7</v>
      </c>
      <c r="D32" s="11">
        <f t="shared" si="0"/>
        <v>8.4000000000000005E-2</v>
      </c>
      <c r="E32" s="11" t="s">
        <v>21</v>
      </c>
    </row>
    <row r="33" spans="1:9" x14ac:dyDescent="0.2">
      <c r="A33" s="32" t="s">
        <v>31</v>
      </c>
      <c r="B33" s="43">
        <v>18.95</v>
      </c>
      <c r="C33" s="32" t="s">
        <v>7</v>
      </c>
      <c r="D33" s="11">
        <f t="shared" si="0"/>
        <v>0.1895</v>
      </c>
      <c r="E33" s="11" t="s">
        <v>21</v>
      </c>
    </row>
    <row r="34" spans="1:9" x14ac:dyDescent="0.2">
      <c r="A34" s="41" t="s">
        <v>89</v>
      </c>
      <c r="B34" s="43">
        <v>11.3</v>
      </c>
      <c r="C34" s="32" t="s">
        <v>7</v>
      </c>
      <c r="D34" s="11">
        <f t="shared" si="0"/>
        <v>0.113</v>
      </c>
      <c r="E34" s="11" t="s">
        <v>21</v>
      </c>
    </row>
    <row r="35" spans="1:9" x14ac:dyDescent="0.2">
      <c r="A35" s="11" t="s">
        <v>65</v>
      </c>
      <c r="B35" s="12">
        <f>B33-B34+B31</f>
        <v>7.6499999999999986</v>
      </c>
      <c r="C35" s="11" t="s">
        <v>7</v>
      </c>
      <c r="D35" s="11">
        <f t="shared" si="0"/>
        <v>7.6499999999999985E-2</v>
      </c>
      <c r="E35" s="11" t="s">
        <v>21</v>
      </c>
    </row>
    <row r="36" spans="1:9" x14ac:dyDescent="0.2">
      <c r="A36" s="11" t="s">
        <v>19</v>
      </c>
      <c r="B36" s="12">
        <f>B33-B34+B32</f>
        <v>16.049999999999997</v>
      </c>
      <c r="C36" s="11" t="s">
        <v>7</v>
      </c>
      <c r="D36" s="11">
        <f t="shared" si="0"/>
        <v>0.16049999999999998</v>
      </c>
      <c r="E36" s="11" t="s">
        <v>21</v>
      </c>
    </row>
    <row r="39" spans="1:9" ht="13.5" thickBot="1" x14ac:dyDescent="0.25">
      <c r="A39" s="22" t="s">
        <v>60</v>
      </c>
    </row>
    <row r="40" spans="1:9" x14ac:dyDescent="0.2">
      <c r="A40" s="10" t="s">
        <v>33</v>
      </c>
      <c r="B40" s="10">
        <v>30</v>
      </c>
      <c r="C40" s="10" t="s">
        <v>7</v>
      </c>
      <c r="D40" s="11">
        <f>B40/100</f>
        <v>0.3</v>
      </c>
      <c r="E40" s="11" t="s">
        <v>21</v>
      </c>
      <c r="F40" s="23" t="s">
        <v>63</v>
      </c>
      <c r="G40" s="2"/>
      <c r="H40" s="2"/>
      <c r="I40" s="3"/>
    </row>
    <row r="41" spans="1:9" ht="13.5" thickBot="1" x14ac:dyDescent="0.25">
      <c r="A41" s="10" t="s">
        <v>61</v>
      </c>
      <c r="B41" s="10">
        <v>0</v>
      </c>
      <c r="C41" s="10" t="s">
        <v>7</v>
      </c>
      <c r="D41" s="11">
        <f>B41/100</f>
        <v>0</v>
      </c>
      <c r="E41" s="11" t="s">
        <v>21</v>
      </c>
      <c r="F41" s="24" t="s">
        <v>64</v>
      </c>
      <c r="G41" s="8"/>
      <c r="H41" s="8"/>
      <c r="I41" s="9"/>
    </row>
    <row r="42" spans="1:9" x14ac:dyDescent="0.2">
      <c r="A42" s="10" t="s">
        <v>8</v>
      </c>
      <c r="B42" s="29">
        <v>9.81</v>
      </c>
      <c r="C42" s="10" t="s">
        <v>22</v>
      </c>
      <c r="D42" s="20">
        <f>B42</f>
        <v>9.81</v>
      </c>
      <c r="E42" s="11" t="s">
        <v>22</v>
      </c>
      <c r="F42" s="21"/>
      <c r="G42" s="5"/>
      <c r="H42" s="5"/>
      <c r="I42" s="5"/>
    </row>
    <row r="43" spans="1:9" x14ac:dyDescent="0.2">
      <c r="A43" s="11" t="s">
        <v>5</v>
      </c>
      <c r="B43" s="20" t="str">
        <f>IF(B19=1,B40-B41,"")</f>
        <v/>
      </c>
      <c r="C43" s="11" t="s">
        <v>7</v>
      </c>
      <c r="D43" s="11" t="e">
        <f>B43/100</f>
        <v>#VALUE!</v>
      </c>
      <c r="E43" s="11" t="s">
        <v>21</v>
      </c>
      <c r="F43" s="21"/>
      <c r="G43" s="5"/>
      <c r="H43" s="5"/>
      <c r="I43" s="5"/>
    </row>
    <row r="45" spans="1:9" x14ac:dyDescent="0.2">
      <c r="A45" s="11" t="s">
        <v>82</v>
      </c>
      <c r="B45" s="11"/>
      <c r="C45" s="11"/>
    </row>
    <row r="46" spans="1:9" x14ac:dyDescent="0.2">
      <c r="A46" s="11"/>
      <c r="B46" s="12"/>
      <c r="C46" s="11"/>
    </row>
    <row r="47" spans="1:9" x14ac:dyDescent="0.2">
      <c r="A47" s="11" t="s">
        <v>1</v>
      </c>
      <c r="B47" s="12">
        <f>IF(B19=1,D26*D43/D22^2,D26/D22^2/D30^2*LN(D36/D35))</f>
        <v>22.262880786827026</v>
      </c>
      <c r="C47" s="11" t="s">
        <v>2</v>
      </c>
    </row>
    <row r="48" spans="1:9" x14ac:dyDescent="0.2">
      <c r="A48" s="11" t="s">
        <v>1</v>
      </c>
      <c r="B48" s="12">
        <f>B47/60</f>
        <v>0.37104801311378377</v>
      </c>
      <c r="C48" s="11" t="s">
        <v>38</v>
      </c>
    </row>
    <row r="49" spans="1:7" ht="13.5" thickBot="1" x14ac:dyDescent="0.25">
      <c r="A49" s="11" t="s">
        <v>1</v>
      </c>
      <c r="B49" s="13">
        <f>INT(B47/60)</f>
        <v>0</v>
      </c>
      <c r="C49" s="11" t="s">
        <v>39</v>
      </c>
      <c r="D49" s="13">
        <f>B47-B49*60</f>
        <v>22.262880786827026</v>
      </c>
      <c r="E49" s="11" t="s">
        <v>2</v>
      </c>
    </row>
    <row r="50" spans="1:7" ht="13.5" thickBot="1" x14ac:dyDescent="0.25">
      <c r="A50" s="25" t="s">
        <v>1</v>
      </c>
      <c r="B50" s="27">
        <f>INT(B49/60)</f>
        <v>0</v>
      </c>
      <c r="C50" s="28" t="s">
        <v>40</v>
      </c>
      <c r="D50" s="28">
        <f>B49-B50*60</f>
        <v>0</v>
      </c>
      <c r="E50" s="28" t="s">
        <v>39</v>
      </c>
      <c r="F50" s="27">
        <f>D49</f>
        <v>22.262880786827026</v>
      </c>
      <c r="G50" s="26" t="s">
        <v>2</v>
      </c>
    </row>
    <row r="52" spans="1:7" x14ac:dyDescent="0.2">
      <c r="A52" s="33" t="s">
        <v>92</v>
      </c>
      <c r="B52" s="33"/>
      <c r="C52" s="33"/>
    </row>
    <row r="53" spans="1:7" x14ac:dyDescent="0.2">
      <c r="A53" s="33"/>
      <c r="B53" s="33" t="s">
        <v>93</v>
      </c>
      <c r="C53" s="33" t="s">
        <v>94</v>
      </c>
    </row>
    <row r="54" spans="1:7" x14ac:dyDescent="0.2">
      <c r="A54" t="s">
        <v>95</v>
      </c>
      <c r="B54" s="44">
        <v>19.399999999999999</v>
      </c>
      <c r="C54" s="22">
        <v>12.3</v>
      </c>
    </row>
    <row r="55" spans="1:7" x14ac:dyDescent="0.2">
      <c r="A55" t="s">
        <v>96</v>
      </c>
      <c r="B55" s="45">
        <v>18.95</v>
      </c>
      <c r="C55" s="21">
        <v>11.3</v>
      </c>
    </row>
    <row r="56" spans="1:7" x14ac:dyDescent="0.2">
      <c r="A56" s="22"/>
      <c r="B56" s="22"/>
      <c r="C56" s="21"/>
    </row>
    <row r="57" spans="1:7" x14ac:dyDescent="0.2">
      <c r="A57" s="32" t="s">
        <v>83</v>
      </c>
      <c r="B57" s="32"/>
      <c r="C57" s="32"/>
      <c r="D57" s="32"/>
    </row>
    <row r="58" spans="1:7" x14ac:dyDescent="0.2">
      <c r="A58" s="32" t="s">
        <v>31</v>
      </c>
      <c r="B58" s="33">
        <v>18.100000000000001</v>
      </c>
    </row>
    <row r="59" spans="1:7" x14ac:dyDescent="0.2">
      <c r="A59" s="32" t="s">
        <v>89</v>
      </c>
      <c r="B59" s="32">
        <v>11</v>
      </c>
      <c r="D59" s="22"/>
      <c r="E59" s="22"/>
    </row>
    <row r="61" spans="1:7" x14ac:dyDescent="0.2">
      <c r="A61" s="32" t="s">
        <v>111</v>
      </c>
    </row>
    <row r="62" spans="1:7" x14ac:dyDescent="0.2">
      <c r="A62" s="32" t="s">
        <v>31</v>
      </c>
      <c r="B62" s="32">
        <v>19.8</v>
      </c>
      <c r="C62" t="s">
        <v>112</v>
      </c>
    </row>
    <row r="63" spans="1:7" x14ac:dyDescent="0.2">
      <c r="A63" s="32" t="s">
        <v>89</v>
      </c>
      <c r="B63" s="32">
        <v>8.4</v>
      </c>
      <c r="C63" t="s">
        <v>112</v>
      </c>
    </row>
  </sheetData>
  <pageMargins left="0.75" right="0.75" top="1" bottom="1" header="0.4921259845" footer="0.4921259845"/>
  <pageSetup paperSize="9" scale="5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Zeiten</vt:lpstr>
      <vt:lpstr>Durchmesser</vt:lpstr>
      <vt:lpstr>Viskosität Polywolframat</vt:lpstr>
      <vt:lpstr>Schwerminerale</vt:lpstr>
      <vt:lpstr>Schwerminerale!Print_Area</vt:lpstr>
      <vt:lpstr>Zeiten!Print_Area</vt:lpstr>
    </vt:vector>
  </TitlesOfParts>
  <Company>Gzgsu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volker</dc:creator>
  <cp:lastModifiedBy>Volker Karius</cp:lastModifiedBy>
  <cp:lastPrinted>2006-07-06T07:20:34Z</cp:lastPrinted>
  <dcterms:created xsi:type="dcterms:W3CDTF">2004-04-05T12:50:48Z</dcterms:created>
  <dcterms:modified xsi:type="dcterms:W3CDTF">2021-02-22T11:14:13Z</dcterms:modified>
</cp:coreProperties>
</file>